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540" windowHeight="11940" tabRatio="920" activeTab="5"/>
  </bookViews>
  <sheets>
    <sheet name="1) Formulas and Assumptions" sheetId="1" r:id="rId1"/>
    <sheet name="2) Heating Load Calc.s" sheetId="2" r:id="rId2"/>
    <sheet name="3) Adjusted Heating Calc.s" sheetId="3" r:id="rId3"/>
    <sheet name="4) Fuel Cost Data" sheetId="4" r:id="rId4"/>
    <sheet name="5) Chart Cost To Heat" sheetId="5" r:id="rId5"/>
    <sheet name="6) Chart Cost per Sq Ft" sheetId="6" r:id="rId6"/>
    <sheet name="7) Fuel Cost History Graph" sheetId="7" state="hidden" r:id="rId7"/>
  </sheets>
  <definedNames>
    <definedName name="_xlnm._FilterDatabase" localSheetId="3" hidden="1">'4) Fuel Cost Data'!$C$34:$D$34</definedName>
  </definedNames>
  <calcPr fullCalcOnLoad="1"/>
</workbook>
</file>

<file path=xl/comments2.xml><?xml version="1.0" encoding="utf-8"?>
<comments xmlns="http://schemas.openxmlformats.org/spreadsheetml/2006/main">
  <authors>
    <author>fulmebm</author>
  </authors>
  <commentList>
    <comment ref="D47" authorId="0">
      <text>
        <r>
          <rPr>
            <b/>
            <sz val="8"/>
            <rFont val="Tahoma"/>
            <family val="0"/>
          </rPr>
          <t>fulmebm:</t>
        </r>
        <r>
          <rPr>
            <sz val="8"/>
            <rFont val="Tahoma"/>
            <family val="0"/>
          </rPr>
          <t xml:space="preserve">
 = Air Exchange rate of 0.5 * volume of house.
</t>
        </r>
      </text>
    </comment>
  </commentList>
</comments>
</file>

<file path=xl/comments3.xml><?xml version="1.0" encoding="utf-8"?>
<comments xmlns="http://schemas.openxmlformats.org/spreadsheetml/2006/main">
  <authors>
    <author>fulmebm</author>
  </authors>
  <commentList>
    <comment ref="K6" authorId="0">
      <text>
        <r>
          <rPr>
            <b/>
            <sz val="8"/>
            <rFont val="Tahoma"/>
            <family val="0"/>
          </rPr>
          <t>fulmebm:</t>
        </r>
        <r>
          <rPr>
            <sz val="8"/>
            <rFont val="Tahoma"/>
            <family val="0"/>
          </rPr>
          <t xml:space="preserve">
Typical ancillary electrical consumption (furnace blower motor, boiler circ. Pumps etc…)
</t>
        </r>
      </text>
    </comment>
    <comment ref="L32" authorId="0">
      <text>
        <r>
          <rPr>
            <b/>
            <sz val="8"/>
            <rFont val="Tahoma"/>
            <family val="0"/>
          </rPr>
          <t>fulmebm:</t>
        </r>
        <r>
          <rPr>
            <sz val="8"/>
            <rFont val="Tahoma"/>
            <family val="0"/>
          </rPr>
          <t xml:space="preserve">
For Heat Pumps - ancillary electric loads (blowers, circ. pumps) are incorporated into COP efficiencies.</t>
        </r>
      </text>
    </comment>
    <comment ref="L31" authorId="0">
      <text>
        <r>
          <rPr>
            <b/>
            <sz val="8"/>
            <rFont val="Tahoma"/>
            <family val="0"/>
          </rPr>
          <t>fulmebm:</t>
        </r>
        <r>
          <rPr>
            <sz val="8"/>
            <rFont val="Tahoma"/>
            <family val="0"/>
          </rPr>
          <t xml:space="preserve">
For Heat Pumps - ancillary electric loads (blowers, circ. pumps) are incorporated into COP efficiencies.</t>
        </r>
      </text>
    </comment>
  </commentList>
</comments>
</file>

<file path=xl/comments4.xml><?xml version="1.0" encoding="utf-8"?>
<comments xmlns="http://schemas.openxmlformats.org/spreadsheetml/2006/main">
  <authors>
    <author>fulmebm</author>
  </authors>
  <commentList>
    <comment ref="D34" authorId="0">
      <text>
        <r>
          <rPr>
            <b/>
            <sz val="8"/>
            <rFont val="Tahoma"/>
            <family val="0"/>
          </rPr>
          <t>fulmebm:</t>
        </r>
        <r>
          <rPr>
            <sz val="8"/>
            <rFont val="Tahoma"/>
            <family val="0"/>
          </rPr>
          <t xml:space="preserve">
HEAT SMART applications include the monthly service charge multiplied by 12 months</t>
        </r>
      </text>
    </comment>
    <comment ref="C34" authorId="0">
      <text>
        <r>
          <rPr>
            <b/>
            <sz val="8"/>
            <rFont val="Tahoma"/>
            <family val="0"/>
          </rPr>
          <t>fulmebm:</t>
        </r>
        <r>
          <rPr>
            <sz val="8"/>
            <rFont val="Tahoma"/>
            <family val="0"/>
          </rPr>
          <t xml:space="preserve">
HEAT SMART applications include the monthly service charge multipled by 12 months: calculated by 1st adding the monthly service charge (annual amt.) to Total Heating Cost for 2,000 SF Home (col. D) then dividing by 2,000</t>
        </r>
      </text>
    </comment>
    <comment ref="G8" authorId="0">
      <text>
        <r>
          <rPr>
            <b/>
            <sz val="8"/>
            <rFont val="Tahoma"/>
            <family val="0"/>
          </rPr>
          <t>fulmebm:</t>
        </r>
        <r>
          <rPr>
            <sz val="8"/>
            <rFont val="Tahoma"/>
            <family val="0"/>
          </rPr>
          <t xml:space="preserve">
Used Office of E&amp;P state-wide number for all fuels including electric</t>
        </r>
      </text>
    </comment>
    <comment ref="F8" authorId="0">
      <text>
        <r>
          <rPr>
            <b/>
            <sz val="8"/>
            <rFont val="Tahoma"/>
            <family val="0"/>
          </rPr>
          <t>fulmebm:</t>
        </r>
        <r>
          <rPr>
            <sz val="8"/>
            <rFont val="Tahoma"/>
            <family val="0"/>
          </rPr>
          <t xml:space="preserve">
Used Office of E&amp;P state-wide number for all fuels including electric</t>
        </r>
      </text>
    </comment>
    <comment ref="E8" authorId="0">
      <text>
        <r>
          <rPr>
            <b/>
            <sz val="8"/>
            <rFont val="Tahoma"/>
            <family val="0"/>
          </rPr>
          <t>fulmebm:</t>
        </r>
        <r>
          <rPr>
            <sz val="8"/>
            <rFont val="Tahoma"/>
            <family val="0"/>
          </rPr>
          <t xml:space="preserve">
Used PSNH's Residential Rate R as of 01/01/2008.</t>
        </r>
      </text>
    </comment>
  </commentList>
</comments>
</file>

<file path=xl/sharedStrings.xml><?xml version="1.0" encoding="utf-8"?>
<sst xmlns="http://schemas.openxmlformats.org/spreadsheetml/2006/main" count="269" uniqueCount="172">
  <si>
    <t>http://www.nh.gov/oep/index.htm</t>
  </si>
  <si>
    <t>Natural Gas</t>
  </si>
  <si>
    <t>Liquid Propane</t>
  </si>
  <si>
    <t>gal</t>
  </si>
  <si>
    <t>Where:</t>
  </si>
  <si>
    <t>Fuel</t>
  </si>
  <si>
    <t>Units</t>
  </si>
  <si>
    <t>kWh</t>
  </si>
  <si>
    <t>Electric Heat - Rate R</t>
  </si>
  <si>
    <t>#2 Fuel Oil</t>
  </si>
  <si>
    <t>Air-to-Air Heat Pump</t>
  </si>
  <si>
    <t>Geo-thermal Heat Pump</t>
  </si>
  <si>
    <t>gallon</t>
  </si>
  <si>
    <t>therms</t>
  </si>
  <si>
    <t>Source</t>
  </si>
  <si>
    <t>Heating Load</t>
  </si>
  <si>
    <t>Heating</t>
  </si>
  <si>
    <t>System</t>
  </si>
  <si>
    <t>Efficiency</t>
  </si>
  <si>
    <t>Fuel Unit</t>
  </si>
  <si>
    <t>in Fuel Units</t>
  </si>
  <si>
    <t>Distribution</t>
  </si>
  <si>
    <t>#of</t>
  </si>
  <si>
    <t>BTUs per</t>
  </si>
  <si>
    <t>Footnotes:</t>
  </si>
  <si>
    <t xml:space="preserve"> Electric Heat - Rate R</t>
  </si>
  <si>
    <t xml:space="preserve"> Electric Heat w/ HEAT SMART</t>
  </si>
  <si>
    <t xml:space="preserve"> #2 Fuel Oil</t>
  </si>
  <si>
    <t xml:space="preserve"> Liquid Propane</t>
  </si>
  <si>
    <t xml:space="preserve"> Natural Gas</t>
  </si>
  <si>
    <t xml:space="preserve"> Air-to-Air Heat Pump</t>
  </si>
  <si>
    <t xml:space="preserve"> Geo-thermal Heat Pump</t>
  </si>
  <si>
    <r>
      <t>1)</t>
    </r>
    <r>
      <rPr>
        <sz val="12"/>
        <rFont val="Arial"/>
        <family val="2"/>
      </rPr>
      <t xml:space="preserve"> Heating Degree Days - Concord, NH with base of 65 degree F = </t>
    </r>
  </si>
  <si>
    <t>1) Heating Degree Days (HDD) taken from NOAA for Concord, NH see www.noaa.gov</t>
  </si>
  <si>
    <t>A2</t>
  </si>
  <si>
    <t>B2</t>
  </si>
  <si>
    <t xml:space="preserve">Walls A,A2,B,B2 surface area = </t>
  </si>
  <si>
    <t>A</t>
  </si>
  <si>
    <t>Windows/doors</t>
  </si>
  <si>
    <t>Studs</t>
  </si>
  <si>
    <t>Wall Cavity</t>
  </si>
  <si>
    <t>% of Area</t>
  </si>
  <si>
    <t>Avg. R-value</t>
  </si>
  <si>
    <t>Weighted R Value</t>
  </si>
  <si>
    <t>Weighted U-factor</t>
  </si>
  <si>
    <t>1)</t>
  </si>
  <si>
    <t>2)</t>
  </si>
  <si>
    <t>Ground floor, attic ceiling =</t>
  </si>
  <si>
    <t>Joist Cavity</t>
  </si>
  <si>
    <t>3)</t>
  </si>
  <si>
    <t>Combined</t>
  </si>
  <si>
    <t>Weighted R-value</t>
  </si>
  <si>
    <t>Sq. Ft.</t>
  </si>
  <si>
    <t>Transmission Heating Load</t>
  </si>
  <si>
    <t>U</t>
  </si>
  <si>
    <t>Delta T</t>
  </si>
  <si>
    <t>Btuh</t>
  </si>
  <si>
    <t>Air Exchange Heating Load</t>
  </si>
  <si>
    <t>Air's Heat Capacity</t>
  </si>
  <si>
    <t>Air Flow Rate</t>
  </si>
  <si>
    <t xml:space="preserve">Volume = </t>
  </si>
  <si>
    <t>cu. Ft.</t>
  </si>
  <si>
    <t>q - Air Exchange Heating Load</t>
  </si>
  <si>
    <t>q - Transmissive Heat Load</t>
  </si>
  <si>
    <t>+</t>
  </si>
  <si>
    <t>Typical NH Home</t>
  </si>
  <si>
    <t>Effective Avg. R-value</t>
  </si>
  <si>
    <t>Total Heating Load (output)</t>
  </si>
  <si>
    <t>28 x 36 = 1,008 sq. ft. per floor or 2,016 sq. ft.</t>
  </si>
  <si>
    <r>
      <t>q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(transmis.)</t>
    </r>
  </si>
  <si>
    <r>
      <t>q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(air)</t>
    </r>
  </si>
  <si>
    <r>
      <t xml:space="preserve">=     q </t>
    </r>
    <r>
      <rPr>
        <b/>
        <sz val="8"/>
        <rFont val="Arial"/>
        <family val="2"/>
      </rPr>
      <t>(total)</t>
    </r>
  </si>
  <si>
    <t xml:space="preserve">     A</t>
  </si>
  <si>
    <t xml:space="preserve">      B</t>
  </si>
  <si>
    <t>2,000 SQ. FT. CAPE</t>
  </si>
  <si>
    <t>Comparing the Energy Consumption and Operating Costs</t>
  </si>
  <si>
    <t>of a typical NH Home using Different Fuels</t>
  </si>
  <si>
    <t>Step 1 - Determine the Design Heating Load (Btuh) (Energy Output required):</t>
  </si>
  <si>
    <t>Step 2 - Calculate Energy Input required based on Design Heating Load (Btuh):</t>
  </si>
  <si>
    <t>efficiency losses (heating and distribution system losses).</t>
  </si>
  <si>
    <r>
      <t xml:space="preserve">The </t>
    </r>
    <r>
      <rPr>
        <b/>
        <sz val="10"/>
        <rFont val="Arial"/>
        <family val="2"/>
      </rPr>
      <t>Energy Input</t>
    </r>
    <r>
      <rPr>
        <sz val="10"/>
        <rFont val="Arial"/>
        <family val="0"/>
      </rPr>
      <t xml:space="preserve"> is the required annual fuel consumption, adjusted upward to account for system</t>
    </r>
  </si>
  <si>
    <r>
      <t>( (Eff.</t>
    </r>
    <r>
      <rPr>
        <b/>
        <sz val="7"/>
        <rFont val="Arial"/>
        <family val="2"/>
      </rPr>
      <t xml:space="preserve">heating </t>
    </r>
    <r>
      <rPr>
        <b/>
        <sz val="10"/>
        <rFont val="Arial"/>
        <family val="2"/>
      </rPr>
      <t>* Eff.</t>
    </r>
    <r>
      <rPr>
        <b/>
        <sz val="7"/>
        <rFont val="Arial"/>
        <family val="2"/>
      </rPr>
      <t>dist.)</t>
    </r>
    <r>
      <rPr>
        <b/>
        <sz val="10"/>
        <rFont val="Arial"/>
        <family val="2"/>
      </rPr>
      <t xml:space="preserve"> x Fuel factor x ∆T )</t>
    </r>
  </si>
  <si>
    <r>
      <t>F</t>
    </r>
    <r>
      <rPr>
        <sz val="7"/>
        <rFont val="Arial"/>
        <family val="2"/>
      </rPr>
      <t>consump</t>
    </r>
    <r>
      <rPr>
        <sz val="14"/>
        <rFont val="Arial"/>
        <family val="2"/>
      </rPr>
      <t>. =</t>
    </r>
  </si>
  <si>
    <t xml:space="preserve">           (HL x 24 x HDD)             </t>
  </si>
  <si>
    <r>
      <t>F</t>
    </r>
    <r>
      <rPr>
        <sz val="12"/>
        <rFont val="Arial"/>
        <family val="2"/>
      </rPr>
      <t xml:space="preserve">   = the annual fuel consumption [ units of respective fuel ]</t>
    </r>
  </si>
  <si>
    <r>
      <t>HL</t>
    </r>
    <r>
      <rPr>
        <sz val="12"/>
        <rFont val="Arial"/>
        <family val="2"/>
      </rPr>
      <t xml:space="preserve"> = is the design heating load [ Btus ]</t>
    </r>
  </si>
  <si>
    <r>
      <t>24</t>
    </r>
    <r>
      <rPr>
        <sz val="12"/>
        <rFont val="Arial"/>
        <family val="2"/>
      </rPr>
      <t xml:space="preserve"> = conversion factor to get units in per hour format … 24 hr/day</t>
    </r>
  </si>
  <si>
    <r>
      <t>HDD</t>
    </r>
    <r>
      <rPr>
        <sz val="12"/>
        <rFont val="Arial"/>
        <family val="2"/>
      </rPr>
      <t xml:space="preserve"> = Heating Degree Days based on 65 degrees F in units of:  [ degree F * days ]</t>
    </r>
  </si>
  <si>
    <r>
      <t xml:space="preserve">Eff. </t>
    </r>
    <r>
      <rPr>
        <b/>
        <sz val="7"/>
        <rFont val="Arial"/>
        <family val="2"/>
      </rPr>
      <t>heating</t>
    </r>
    <r>
      <rPr>
        <sz val="7"/>
        <rFont val="Arial"/>
        <family val="2"/>
      </rPr>
      <t xml:space="preserve">  </t>
    </r>
    <r>
      <rPr>
        <sz val="12"/>
        <rFont val="Arial"/>
        <family val="2"/>
      </rPr>
      <t>= seasonal efficiency of the heating system [ % ]</t>
    </r>
  </si>
  <si>
    <r>
      <t xml:space="preserve">Eff. </t>
    </r>
    <r>
      <rPr>
        <b/>
        <sz val="7"/>
        <rFont val="Arial"/>
        <family val="2"/>
      </rPr>
      <t xml:space="preserve">dist. </t>
    </r>
    <r>
      <rPr>
        <sz val="12"/>
        <rFont val="Arial"/>
        <family val="2"/>
      </rPr>
      <t>= is the efficiency of the distribution system (i.e. ducts, hydronic) [ % ]</t>
    </r>
  </si>
  <si>
    <r>
      <t xml:space="preserve">Fuel Factor </t>
    </r>
    <r>
      <rPr>
        <sz val="12"/>
        <rFont val="Arial"/>
        <family val="2"/>
      </rPr>
      <t xml:space="preserve">= is the heating value of the fuel [ kWh, gallons, therms ] </t>
    </r>
  </si>
  <si>
    <r>
      <t xml:space="preserve"> Distribution system</t>
    </r>
    <r>
      <rPr>
        <sz val="10"/>
        <rFont val="Arial"/>
        <family val="2"/>
      </rPr>
      <t xml:space="preserve"> depends upon type (hot air, hydronic, etc…) age, condition, location, etc…</t>
    </r>
  </si>
  <si>
    <t>3) Heating / Dist.System efficiencies from Bruce Harley of CSG (9/05) and Bob Kahabka through field experience (11/05)</t>
  </si>
  <si>
    <t>gallons</t>
  </si>
  <si>
    <t>Step 3 - Apply Fuel Costs to Energy Input required:</t>
  </si>
  <si>
    <t>Assumptions:</t>
  </si>
  <si>
    <r>
      <t xml:space="preserve">2) </t>
    </r>
    <r>
      <rPr>
        <sz val="12"/>
        <rFont val="Arial"/>
        <family val="2"/>
      </rPr>
      <t>System Efficiencies and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MMBTU Fuel Conversion Factors</t>
    </r>
  </si>
  <si>
    <t>x</t>
  </si>
  <si>
    <t>(</t>
  </si>
  <si>
    <t>Sample</t>
  </si>
  <si>
    <t>) =</t>
  </si>
  <si>
    <t>kWh/yr</t>
  </si>
  <si>
    <t>HL =</t>
  </si>
  <si>
    <t>HDD =</t>
  </si>
  <si>
    <t>∆T =</t>
  </si>
  <si>
    <t>Fuel Factor =</t>
  </si>
  <si>
    <t>see below</t>
  </si>
  <si>
    <t>Conversion of Base Heating Load (Output) into Adjusted Heating Load (Required Input)</t>
  </si>
  <si>
    <t>by Fuel Type</t>
  </si>
  <si>
    <t>Heating Costs by Fuel Type - Cost Per Square Foot</t>
  </si>
  <si>
    <r>
      <t xml:space="preserve">Adjusted </t>
    </r>
    <r>
      <rPr>
        <b/>
        <sz val="10"/>
        <color indexed="10"/>
        <rFont val="Arial"/>
        <family val="2"/>
      </rPr>
      <t>(Input)</t>
    </r>
  </si>
  <si>
    <r>
      <t>Eff.</t>
    </r>
    <r>
      <rPr>
        <sz val="8"/>
        <rFont val="Arial"/>
        <family val="2"/>
      </rPr>
      <t>heating</t>
    </r>
    <r>
      <rPr>
        <sz val="10"/>
        <rFont val="Arial"/>
        <family val="2"/>
      </rPr>
      <t xml:space="preserve"> =</t>
    </r>
  </si>
  <si>
    <r>
      <t>Eff.</t>
    </r>
    <r>
      <rPr>
        <sz val="8"/>
        <rFont val="Arial"/>
        <family val="2"/>
      </rPr>
      <t>dist.</t>
    </r>
    <r>
      <rPr>
        <sz val="10"/>
        <rFont val="Arial"/>
        <family val="2"/>
      </rPr>
      <t xml:space="preserve"> =</t>
    </r>
  </si>
  <si>
    <t>heating value of the fuel - see below</t>
  </si>
  <si>
    <t>Design heating load Btuh</t>
  </si>
  <si>
    <t>Heating degree Days (Concord, NH)</t>
  </si>
  <si>
    <t>Design Temp. Difference</t>
  </si>
  <si>
    <t xml:space="preserve">Fuel Factor </t>
  </si>
  <si>
    <r>
      <t>Eff.</t>
    </r>
    <r>
      <rPr>
        <sz val="8"/>
        <rFont val="Arial"/>
        <family val="2"/>
      </rPr>
      <t>heating</t>
    </r>
    <r>
      <rPr>
        <sz val="10"/>
        <rFont val="Arial"/>
        <family val="2"/>
      </rPr>
      <t xml:space="preserve"> </t>
    </r>
  </si>
  <si>
    <r>
      <t>Eff.</t>
    </r>
    <r>
      <rPr>
        <sz val="8"/>
        <rFont val="Arial"/>
        <family val="2"/>
      </rPr>
      <t>dist.</t>
    </r>
  </si>
  <si>
    <t>Heating Costs per Square Foot</t>
  </si>
  <si>
    <t>Fuel Source</t>
  </si>
  <si>
    <t>(70 - -15) )</t>
  </si>
  <si>
    <t>Seasonal</t>
  </si>
  <si>
    <t xml:space="preserve">     ancillary electric usage</t>
  </si>
  <si>
    <r>
      <t xml:space="preserve">( (144+122) / 2) * 6 ) </t>
    </r>
    <r>
      <rPr>
        <b/>
        <sz val="8"/>
        <rFont val="Arial"/>
        <family val="2"/>
      </rPr>
      <t>kWh of</t>
    </r>
  </si>
  <si>
    <t>( 798 kWh / heating season)</t>
  </si>
  <si>
    <r>
      <t>F</t>
    </r>
    <r>
      <rPr>
        <b/>
        <sz val="14"/>
        <rFont val="Arial"/>
        <family val="2"/>
      </rPr>
      <t xml:space="preserve"> </t>
    </r>
    <r>
      <rPr>
        <sz val="7"/>
        <rFont val="Arial"/>
        <family val="2"/>
      </rPr>
      <t>consump. Electric Ancillary</t>
    </r>
    <r>
      <rPr>
        <sz val="14"/>
        <rFont val="Arial"/>
        <family val="2"/>
      </rPr>
      <t xml:space="preserve"> = </t>
    </r>
  </si>
  <si>
    <t xml:space="preserve"> Electric Heat w/ HEATSMART</t>
  </si>
  <si>
    <t xml:space="preserve"> Natural Gas * second tier</t>
  </si>
  <si>
    <t xml:space="preserve"> Air-to-Air Heat Pump on HEATSMART</t>
  </si>
  <si>
    <t xml:space="preserve"> Geo-thermal Heat Pump on HEATSMART</t>
  </si>
  <si>
    <r>
      <t>3)</t>
    </r>
    <r>
      <rPr>
        <sz val="10"/>
        <rFont val="Arial"/>
        <family val="0"/>
      </rPr>
      <t xml:space="preserve"> ∆T Calc. Assumptions: Balance Point temp. = 70 F, the Design temp. = -15 F yielding a ∆T = 85 F</t>
    </r>
  </si>
  <si>
    <t xml:space="preserve">    Heat Sys-Hot Air 1/2HP Motor (&lt;2000SF)  = 144 kWh / month &amp; Heat Sys-Hot Water (&gt;1 Zone Circ+Burner) = 122 kWh / month</t>
  </si>
  <si>
    <t>Step 2a - Add Ancillary Electric Usage to Energy Input Figures</t>
  </si>
  <si>
    <r>
      <t xml:space="preserve"> ft</t>
    </r>
    <r>
      <rPr>
        <vertAlign val="superscript"/>
        <sz val="10"/>
        <rFont val="Arial"/>
        <family val="2"/>
      </rPr>
      <t>2</t>
    </r>
  </si>
  <si>
    <t>Btu / hour</t>
  </si>
  <si>
    <r>
      <t>A typical 2,000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NH home has a heating load of:</t>
    </r>
  </si>
  <si>
    <r>
      <t>See "</t>
    </r>
    <r>
      <rPr>
        <b/>
        <sz val="10"/>
        <rFont val="Arial"/>
        <family val="2"/>
      </rPr>
      <t>4) Fuel Cost Data</t>
    </r>
    <r>
      <rPr>
        <sz val="10"/>
        <rFont val="Arial"/>
        <family val="0"/>
      </rPr>
      <t>" tab</t>
    </r>
  </si>
  <si>
    <r>
      <t>For detailed calc.s See "</t>
    </r>
    <r>
      <rPr>
        <b/>
        <sz val="10"/>
        <rFont val="Arial"/>
        <family val="2"/>
      </rPr>
      <t>2) Heating Load Calc.s</t>
    </r>
    <r>
      <rPr>
        <sz val="10"/>
        <rFont val="Arial"/>
        <family val="0"/>
      </rPr>
      <t>" tab</t>
    </r>
  </si>
  <si>
    <t>Ancillary</t>
  </si>
  <si>
    <t>Electric</t>
  </si>
  <si>
    <t>( (80%</t>
  </si>
  <si>
    <t>85%)</t>
  </si>
  <si>
    <r>
      <t>F</t>
    </r>
    <r>
      <rPr>
        <sz val="7"/>
        <rFont val="Arial"/>
        <family val="2"/>
      </rPr>
      <t>consump</t>
    </r>
    <r>
      <rPr>
        <sz val="14"/>
        <rFont val="Arial"/>
        <family val="2"/>
      </rPr>
      <t xml:space="preserve">. </t>
    </r>
    <r>
      <rPr>
        <sz val="7"/>
        <rFont val="Arial"/>
        <family val="2"/>
      </rPr>
      <t xml:space="preserve">oil  </t>
    </r>
    <r>
      <rPr>
        <sz val="14"/>
        <rFont val="Arial"/>
        <family val="2"/>
      </rPr>
      <t>=</t>
    </r>
  </si>
  <si>
    <r>
      <t>F</t>
    </r>
    <r>
      <rPr>
        <sz val="7"/>
        <rFont val="Arial"/>
        <family val="2"/>
      </rPr>
      <t>consump</t>
    </r>
    <r>
      <rPr>
        <sz val="14"/>
        <rFont val="Arial"/>
        <family val="2"/>
      </rPr>
      <t xml:space="preserve">. </t>
    </r>
    <r>
      <rPr>
        <sz val="7"/>
        <rFont val="Arial"/>
        <family val="2"/>
      </rPr>
      <t xml:space="preserve"> Total</t>
    </r>
    <r>
      <rPr>
        <sz val="14"/>
        <rFont val="Arial"/>
        <family val="2"/>
      </rPr>
      <t xml:space="preserve"> =</t>
    </r>
  </si>
  <si>
    <t>Additional</t>
  </si>
  <si>
    <t>Heating Costs for 2,000SF Home</t>
  </si>
  <si>
    <r>
      <t xml:space="preserve">∆T </t>
    </r>
    <r>
      <rPr>
        <sz val="12"/>
        <rFont val="Arial"/>
        <family val="2"/>
      </rPr>
      <t xml:space="preserve">= is the delta T </t>
    </r>
    <r>
      <rPr>
        <sz val="10"/>
        <rFont val="Arial"/>
        <family val="2"/>
      </rPr>
      <t>or temp. difference of Balance Point 70 F minus design temp. -15 F</t>
    </r>
    <r>
      <rPr>
        <sz val="12"/>
        <rFont val="Arial"/>
        <family val="2"/>
      </rPr>
      <t xml:space="preserve"> [ degree F ]</t>
    </r>
  </si>
  <si>
    <t>required by the furnace fan blower motors and hot water circ. pumps and burner.  These kWh usage figures</t>
  </si>
  <si>
    <t xml:space="preserve">are added to the fossil fuel consumption figures to yield Total Costs for the system. </t>
  </si>
  <si>
    <r>
      <t xml:space="preserve"> </t>
    </r>
    <r>
      <rPr>
        <b/>
        <i/>
        <sz val="10"/>
        <rFont val="Arial"/>
        <family val="2"/>
      </rPr>
      <t>Heating system</t>
    </r>
    <r>
      <rPr>
        <sz val="10"/>
        <rFont val="Arial"/>
        <family val="0"/>
      </rPr>
      <t xml:space="preserve"> efficiency depends upon age, condition, fuel type, etc...</t>
    </r>
  </si>
  <si>
    <t>2) MMBTU Fuel conversion Factors taken from generally accepted figures (ASHRAE, RESNET etc…)</t>
  </si>
  <si>
    <t>Ancillary electric usage must be added to the Energy Input figures to account for the additional energy</t>
  </si>
  <si>
    <t>4) Ancillary Electric Usage: PSNH Tariff Form 3010 10/01/02. Took 50/50 avg. &amp; 6 months heating (144+122)/2 = 133 kWh/mo.</t>
  </si>
  <si>
    <t>(V = 1,008 x 2 x 8)</t>
  </si>
  <si>
    <t xml:space="preserve">gallons oil    plus </t>
  </si>
  <si>
    <t>Sorted Heating Costs for Charts</t>
  </si>
  <si>
    <t>*</t>
  </si>
  <si>
    <t xml:space="preserve"> ( 2x4 16" OC )</t>
  </si>
  <si>
    <r>
      <t xml:space="preserve">Air-to-Air Heat Pump on HEATSMART ($0.09857/kWh + $68.64 </t>
    </r>
    <r>
      <rPr>
        <sz val="8"/>
        <rFont val="Arial"/>
        <family val="2"/>
      </rPr>
      <t>in annual service charges</t>
    </r>
    <r>
      <rPr>
        <sz val="10"/>
        <rFont val="Arial"/>
        <family val="0"/>
      </rPr>
      <t>)</t>
    </r>
  </si>
  <si>
    <r>
      <t>Geo-thermal Heat Pump on PSNH's H</t>
    </r>
    <r>
      <rPr>
        <sz val="9"/>
        <rFont val="Arial"/>
        <family val="2"/>
      </rPr>
      <t>EAT</t>
    </r>
    <r>
      <rPr>
        <sz val="10"/>
        <rFont val="Arial"/>
        <family val="0"/>
      </rPr>
      <t>S</t>
    </r>
    <r>
      <rPr>
        <sz val="9"/>
        <rFont val="Arial"/>
        <family val="2"/>
      </rPr>
      <t xml:space="preserve">MART </t>
    </r>
    <r>
      <rPr>
        <sz val="10"/>
        <rFont val="Arial"/>
        <family val="0"/>
      </rPr>
      <t xml:space="preserve">($0.10379/kWh + $77.16 </t>
    </r>
    <r>
      <rPr>
        <sz val="8"/>
        <rFont val="Arial"/>
        <family val="2"/>
      </rPr>
      <t>in annual service charges</t>
    </r>
    <r>
      <rPr>
        <sz val="10"/>
        <rFont val="Arial"/>
        <family val="0"/>
      </rPr>
      <t>)</t>
    </r>
  </si>
  <si>
    <r>
      <t xml:space="preserve">Liquid Propane </t>
    </r>
    <r>
      <rPr>
        <sz val="10"/>
        <rFont val="Arial"/>
        <family val="2"/>
      </rPr>
      <t>($3.203/gal)</t>
    </r>
  </si>
  <si>
    <t>Natural Gas ($1.4695/therm)    (2nd tier)</t>
  </si>
  <si>
    <t xml:space="preserve"> # 2 Fuel Oil ($4.031/gal)</t>
  </si>
  <si>
    <t>Fuel Costs per Unit of Fuel  - sourced at:</t>
  </si>
  <si>
    <t>1) PSNH's current Residentail Rate R &amp; LCS aas of 01/01/2008</t>
  </si>
  <si>
    <t>2) Fossil Fuel pricing from NH PUC Office of energy &amp; Planning (www.nh.goc/oep)</t>
  </si>
  <si>
    <t>Pricing as of:</t>
  </si>
  <si>
    <t>Electric Heat w/ HEATSMART</t>
  </si>
  <si>
    <r>
      <t>Electric Heat w/ PSNH's H</t>
    </r>
    <r>
      <rPr>
        <sz val="9"/>
        <rFont val="Arial"/>
        <family val="2"/>
      </rPr>
      <t>EAT</t>
    </r>
    <r>
      <rPr>
        <sz val="10"/>
        <rFont val="Arial"/>
        <family val="0"/>
      </rPr>
      <t>S</t>
    </r>
    <r>
      <rPr>
        <sz val="9"/>
        <rFont val="Arial"/>
        <family val="2"/>
      </rPr>
      <t>MART</t>
    </r>
    <r>
      <rPr>
        <sz val="10"/>
        <rFont val="Arial"/>
        <family val="0"/>
      </rPr>
      <t xml:space="preserve"> ($0.10379/kWh + $77.16 in </t>
    </r>
    <r>
      <rPr>
        <sz val="8"/>
        <rFont val="Arial"/>
        <family val="2"/>
      </rPr>
      <t>annual service charges</t>
    </r>
    <r>
      <rPr>
        <sz val="10"/>
        <rFont val="Arial"/>
        <family val="0"/>
      </rPr>
      <t>)</t>
    </r>
  </si>
  <si>
    <t>Electric Heat -   PSNH Rate R ($0.13694 kWh)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</si>
</sst>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\);\(&quot;$&quot;#,##0.00\)"/>
    <numFmt numFmtId="165" formatCode="&quot;$&quot;#,##0.000_;\(&quot;$&quot;###0.00\)"/>
    <numFmt numFmtId="166" formatCode="&quot;$&quot;#,##0.000;\(&quot;$&quot;#,##0.00\)"/>
    <numFmt numFmtId="167" formatCode="&quot;$&quot;#,##0.00000;\(&quot;$&quot;#,##0.00\)"/>
    <numFmt numFmtId="168" formatCode="&quot;$&quot;#,##0.00"/>
    <numFmt numFmtId="169" formatCode="&quot;$&quot;#,##0.000_);\(&quot;$&quot;#,##0.000\)"/>
    <numFmt numFmtId="170" formatCode="0.0000"/>
    <numFmt numFmtId="171" formatCode="&quot;$&quot;#,##0.0000"/>
    <numFmt numFmtId="172" formatCode="&quot;$&quot;#,##0.000"/>
    <numFmt numFmtId="173" formatCode="[$-409]dddd\,\ mmmm\ dd\,\ yyyy"/>
    <numFmt numFmtId="174" formatCode="mmm\ dd\,\ yyyy"/>
    <numFmt numFmtId="175" formatCode="&quot;$&quot;#,##0.00000_);\(&quot;$&quot;#,##0.00000\)"/>
    <numFmt numFmtId="176" formatCode="0.000"/>
    <numFmt numFmtId="177" formatCode="_(* #,##0.0_);_(* \(#,##0.0\);_(* &quot;-&quot;??_);_(@_)"/>
    <numFmt numFmtId="178" formatCode="_(* #,##0_);_(* \(#,##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\-mmm\-yy;@"/>
    <numFmt numFmtId="184" formatCode="&quot;$&quot;#,##0.00000"/>
    <numFmt numFmtId="185" formatCode="#,##0.0"/>
    <numFmt numFmtId="186" formatCode="&quot;$&quot;#,##0.00000_);[Red]\(&quot;$&quot;#,##0.00000\)"/>
    <numFmt numFmtId="187" formatCode="&quot;$&quot;#,##0.000000_);[Red]\(&quot;$&quot;#,##0.000000\)"/>
    <numFmt numFmtId="188" formatCode="0.0"/>
    <numFmt numFmtId="189" formatCode="#,##0.000000_);[Red]\(#,##0.000000\)"/>
    <numFmt numFmtId="190" formatCode="&quot;$&quot;#,##0.0000_);[Red]\(&quot;$&quot;#,##0.0000\)"/>
    <numFmt numFmtId="191" formatCode="&quot;$&quot;#,##0.000_);[Red]\(&quot;$&quot;#,##0.000\)"/>
    <numFmt numFmtId="192" formatCode="0.0%"/>
    <numFmt numFmtId="193" formatCode="0.000%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sz val="16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b/>
      <sz val="12"/>
      <color indexed="48"/>
      <name val="Arial"/>
      <family val="2"/>
    </font>
    <font>
      <sz val="10"/>
      <color indexed="48"/>
      <name val="Arial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48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indexed="8"/>
      <name val="Arial"/>
      <family val="0"/>
    </font>
    <font>
      <b/>
      <sz val="10.75"/>
      <color indexed="8"/>
      <name val="Arial"/>
      <family val="0"/>
    </font>
    <font>
      <b/>
      <sz val="13.75"/>
      <color indexed="8"/>
      <name val="Arial"/>
      <family val="0"/>
    </font>
    <font>
      <sz val="10.75"/>
      <color indexed="8"/>
      <name val="Arial"/>
      <family val="0"/>
    </font>
    <font>
      <b/>
      <sz val="22.25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n"/>
      <top>
        <color indexed="63"/>
      </top>
      <bottom style="thick">
        <color indexed="4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83" fontId="0" fillId="0" borderId="0" xfId="0" applyNumberFormat="1" applyAlignment="1">
      <alignment/>
    </xf>
    <xf numFmtId="178" fontId="0" fillId="0" borderId="14" xfId="42" applyNumberFormat="1" applyFont="1" applyBorder="1" applyAlignment="1">
      <alignment/>
    </xf>
    <xf numFmtId="178" fontId="0" fillId="0" borderId="26" xfId="42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3" fontId="1" fillId="0" borderId="21" xfId="0" applyNumberFormat="1" applyFont="1" applyBorder="1" applyAlignment="1">
      <alignment horizontal="center"/>
    </xf>
    <xf numFmtId="183" fontId="1" fillId="0" borderId="21" xfId="0" applyNumberFormat="1" applyFont="1" applyBorder="1" applyAlignment="1" quotePrefix="1">
      <alignment horizontal="center"/>
    </xf>
    <xf numFmtId="0" fontId="0" fillId="0" borderId="0" xfId="0" applyAlignment="1" quotePrefix="1">
      <alignment/>
    </xf>
    <xf numFmtId="178" fontId="0" fillId="0" borderId="0" xfId="42" applyNumberFormat="1" applyFont="1" applyBorder="1" applyAlignment="1">
      <alignment/>
    </xf>
    <xf numFmtId="9" fontId="0" fillId="0" borderId="0" xfId="59" applyFont="1" applyBorder="1" applyAlignment="1">
      <alignment/>
    </xf>
    <xf numFmtId="0" fontId="0" fillId="0" borderId="0" xfId="0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/>
    </xf>
    <xf numFmtId="178" fontId="0" fillId="33" borderId="29" xfId="42" applyNumberFormat="1" applyFont="1" applyFill="1" applyBorder="1" applyAlignment="1">
      <alignment/>
    </xf>
    <xf numFmtId="0" fontId="0" fillId="33" borderId="24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33" borderId="30" xfId="0" applyFill="1" applyBorder="1" applyAlignment="1">
      <alignment/>
    </xf>
    <xf numFmtId="0" fontId="0" fillId="33" borderId="28" xfId="0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183" fontId="1" fillId="33" borderId="24" xfId="0" applyNumberFormat="1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178" fontId="0" fillId="0" borderId="0" xfId="42" applyNumberFormat="1" applyFont="1" applyBorder="1" applyAlignment="1">
      <alignment/>
    </xf>
    <xf numFmtId="178" fontId="0" fillId="0" borderId="21" xfId="42" applyNumberFormat="1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83" fontId="1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178" fontId="0" fillId="0" borderId="32" xfId="42" applyNumberFormat="1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78" fontId="1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87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9" fontId="0" fillId="0" borderId="10" xfId="59" applyBorder="1" applyAlignment="1">
      <alignment/>
    </xf>
    <xf numFmtId="2" fontId="0" fillId="0" borderId="10" xfId="0" applyNumberFormat="1" applyBorder="1" applyAlignment="1">
      <alignment/>
    </xf>
    <xf numFmtId="38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9" fillId="33" borderId="0" xfId="0" applyFont="1" applyFill="1" applyBorder="1" applyAlignment="1" quotePrefix="1">
      <alignment horizontal="center"/>
    </xf>
    <xf numFmtId="38" fontId="1" fillId="33" borderId="0" xfId="0" applyNumberFormat="1" applyFont="1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/>
    </xf>
    <xf numFmtId="0" fontId="1" fillId="34" borderId="24" xfId="0" applyFont="1" applyFill="1" applyBorder="1" applyAlignment="1">
      <alignment horizontal="center"/>
    </xf>
    <xf numFmtId="38" fontId="0" fillId="0" borderId="0" xfId="42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9" fontId="0" fillId="0" borderId="0" xfId="59" applyBorder="1" applyAlignment="1">
      <alignment/>
    </xf>
    <xf numFmtId="2" fontId="0" fillId="0" borderId="0" xfId="0" applyNumberFormat="1" applyBorder="1" applyAlignment="1">
      <alignment/>
    </xf>
    <xf numFmtId="38" fontId="1" fillId="0" borderId="0" xfId="0" applyNumberFormat="1" applyFont="1" applyBorder="1" applyAlignment="1">
      <alignment/>
    </xf>
    <xf numFmtId="170" fontId="1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83" fontId="1" fillId="33" borderId="37" xfId="0" applyNumberFormat="1" applyFont="1" applyFill="1" applyBorder="1" applyAlignment="1">
      <alignment horizontal="center"/>
    </xf>
    <xf numFmtId="183" fontId="1" fillId="33" borderId="31" xfId="0" applyNumberFormat="1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9" fontId="0" fillId="33" borderId="23" xfId="59" applyNumberFormat="1" applyFont="1" applyFill="1" applyBorder="1" applyAlignment="1">
      <alignment horizontal="center"/>
    </xf>
    <xf numFmtId="9" fontId="0" fillId="33" borderId="33" xfId="59" applyNumberFormat="1" applyFont="1" applyFill="1" applyBorder="1" applyAlignment="1">
      <alignment horizontal="center"/>
    </xf>
    <xf numFmtId="9" fontId="0" fillId="33" borderId="38" xfId="59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0" borderId="0" xfId="0" applyFont="1" applyBorder="1" applyAlignment="1" quotePrefix="1">
      <alignment horizontal="center" vertical="top"/>
    </xf>
    <xf numFmtId="0" fontId="0" fillId="33" borderId="19" xfId="0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4" xfId="0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38" fontId="1" fillId="33" borderId="39" xfId="0" applyNumberFormat="1" applyFont="1" applyFill="1" applyBorder="1" applyAlignment="1">
      <alignment/>
    </xf>
    <xf numFmtId="0" fontId="0" fillId="33" borderId="40" xfId="0" applyFont="1" applyFill="1" applyBorder="1" applyAlignment="1">
      <alignment/>
    </xf>
    <xf numFmtId="38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9" fontId="9" fillId="0" borderId="0" xfId="59" applyFont="1" applyFill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8" fontId="9" fillId="0" borderId="10" xfId="0" applyNumberFormat="1" applyFont="1" applyFill="1" applyBorder="1" applyAlignment="1">
      <alignment/>
    </xf>
    <xf numFmtId="38" fontId="1" fillId="33" borderId="41" xfId="42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183" fontId="0" fillId="0" borderId="15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178" fontId="20" fillId="0" borderId="1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38" fontId="0" fillId="35" borderId="0" xfId="0" applyNumberFormat="1" applyFont="1" applyFill="1" applyBorder="1" applyAlignment="1" quotePrefix="1">
      <alignment horizontal="center"/>
    </xf>
    <xf numFmtId="0" fontId="0" fillId="35" borderId="0" xfId="0" applyFont="1" applyFill="1" applyBorder="1" applyAlignment="1" quotePrefix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0" fillId="35" borderId="15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0" fillId="36" borderId="22" xfId="0" applyFill="1" applyBorder="1" applyAlignment="1">
      <alignment/>
    </xf>
    <xf numFmtId="0" fontId="0" fillId="36" borderId="19" xfId="0" applyFill="1" applyBorder="1" applyAlignment="1">
      <alignment/>
    </xf>
    <xf numFmtId="187" fontId="0" fillId="36" borderId="24" xfId="0" applyNumberFormat="1" applyFill="1" applyBorder="1" applyAlignment="1">
      <alignment/>
    </xf>
    <xf numFmtId="183" fontId="1" fillId="36" borderId="24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 quotePrefix="1">
      <alignment horizontal="center"/>
    </xf>
    <xf numFmtId="0" fontId="20" fillId="0" borderId="0" xfId="0" applyFont="1" applyFill="1" applyBorder="1" applyAlignment="1" quotePrefix="1">
      <alignment/>
    </xf>
    <xf numFmtId="0" fontId="15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4" fillId="0" borderId="0" xfId="0" applyFont="1" applyBorder="1" applyAlignment="1" quotePrefix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33" borderId="40" xfId="0" applyFill="1" applyBorder="1" applyAlignment="1">
      <alignment/>
    </xf>
    <xf numFmtId="38" fontId="1" fillId="33" borderId="39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9" fillId="0" borderId="14" xfId="0" applyFont="1" applyFill="1" applyBorder="1" applyAlignment="1">
      <alignment horizontal="left"/>
    </xf>
    <xf numFmtId="0" fontId="11" fillId="36" borderId="39" xfId="0" applyFont="1" applyFill="1" applyBorder="1" applyAlignment="1">
      <alignment horizontal="right"/>
    </xf>
    <xf numFmtId="170" fontId="0" fillId="0" borderId="0" xfId="0" applyNumberForma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0" fontId="0" fillId="0" borderId="33" xfId="0" applyFont="1" applyBorder="1" applyAlignment="1">
      <alignment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0" fontId="9" fillId="36" borderId="42" xfId="0" applyFont="1" applyFill="1" applyBorder="1" applyAlignment="1">
      <alignment horizontal="center"/>
    </xf>
    <xf numFmtId="38" fontId="9" fillId="36" borderId="42" xfId="59" applyNumberFormat="1" applyFont="1" applyFill="1" applyBorder="1" applyAlignment="1">
      <alignment horizontal="center"/>
    </xf>
    <xf numFmtId="38" fontId="1" fillId="36" borderId="42" xfId="0" applyNumberFormat="1" applyFont="1" applyFill="1" applyBorder="1" applyAlignment="1">
      <alignment horizontal="left"/>
    </xf>
    <xf numFmtId="9" fontId="9" fillId="36" borderId="42" xfId="59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178" fontId="9" fillId="36" borderId="42" xfId="0" applyNumberFormat="1" applyFont="1" applyFill="1" applyBorder="1" applyAlignment="1">
      <alignment horizontal="center"/>
    </xf>
    <xf numFmtId="0" fontId="1" fillId="36" borderId="42" xfId="0" applyFont="1" applyFill="1" applyBorder="1" applyAlignment="1">
      <alignment horizontal="left"/>
    </xf>
    <xf numFmtId="178" fontId="9" fillId="36" borderId="40" xfId="0" applyNumberFormat="1" applyFont="1" applyFill="1" applyBorder="1" applyAlignment="1">
      <alignment horizontal="left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wrapText="1"/>
    </xf>
    <xf numFmtId="190" fontId="0" fillId="0" borderId="0" xfId="0" applyNumberFormat="1" applyAlignment="1">
      <alignment/>
    </xf>
    <xf numFmtId="0" fontId="0" fillId="33" borderId="45" xfId="0" applyFill="1" applyBorder="1" applyAlignment="1">
      <alignment horizontal="center"/>
    </xf>
    <xf numFmtId="0" fontId="0" fillId="33" borderId="44" xfId="0" applyFill="1" applyBorder="1" applyAlignment="1">
      <alignment/>
    </xf>
    <xf numFmtId="0" fontId="1" fillId="34" borderId="43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44" xfId="0" applyFill="1" applyBorder="1" applyAlignment="1">
      <alignment/>
    </xf>
    <xf numFmtId="0" fontId="1" fillId="36" borderId="44" xfId="0" applyFont="1" applyFill="1" applyBorder="1" applyAlignment="1">
      <alignment horizontal="center" wrapText="1"/>
    </xf>
    <xf numFmtId="6" fontId="0" fillId="36" borderId="45" xfId="0" applyNumberFormat="1" applyFill="1" applyBorder="1" applyAlignment="1">
      <alignment horizontal="center"/>
    </xf>
    <xf numFmtId="187" fontId="0" fillId="36" borderId="44" xfId="0" applyNumberFormat="1" applyFill="1" applyBorder="1" applyAlignment="1">
      <alignment/>
    </xf>
    <xf numFmtId="0" fontId="12" fillId="0" borderId="0" xfId="53" applyAlignment="1" applyProtection="1">
      <alignment/>
      <protection/>
    </xf>
    <xf numFmtId="183" fontId="0" fillId="34" borderId="46" xfId="0" applyNumberFormat="1" applyFont="1" applyFill="1" applyBorder="1" applyAlignment="1">
      <alignment horizontal="center"/>
    </xf>
    <xf numFmtId="183" fontId="0" fillId="34" borderId="47" xfId="0" applyNumberFormat="1" applyFont="1" applyFill="1" applyBorder="1" applyAlignment="1">
      <alignment horizontal="center"/>
    </xf>
    <xf numFmtId="190" fontId="0" fillId="0" borderId="23" xfId="0" applyNumberFormat="1" applyFill="1" applyBorder="1" applyAlignment="1">
      <alignment/>
    </xf>
    <xf numFmtId="190" fontId="0" fillId="0" borderId="15" xfId="0" applyNumberFormat="1" applyFill="1" applyBorder="1" applyAlignment="1">
      <alignment/>
    </xf>
    <xf numFmtId="183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6" fontId="0" fillId="0" borderId="0" xfId="0" applyNumberFormat="1" applyFill="1" applyBorder="1" applyAlignment="1">
      <alignment horizontal="center"/>
    </xf>
    <xf numFmtId="187" fontId="0" fillId="0" borderId="0" xfId="0" applyNumberForma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Fill="1" applyBorder="1" applyAlignment="1">
      <alignment/>
    </xf>
    <xf numFmtId="183" fontId="0" fillId="0" borderId="24" xfId="0" applyNumberFormat="1" applyFont="1" applyFill="1" applyBorder="1" applyAlignment="1">
      <alignment horizontal="center"/>
    </xf>
    <xf numFmtId="183" fontId="0" fillId="0" borderId="49" xfId="0" applyNumberFormat="1" applyFont="1" applyFill="1" applyBorder="1" applyAlignment="1">
      <alignment horizontal="center"/>
    </xf>
    <xf numFmtId="183" fontId="0" fillId="0" borderId="28" xfId="0" applyNumberFormat="1" applyFont="1" applyFill="1" applyBorder="1" applyAlignment="1">
      <alignment horizontal="center"/>
    </xf>
    <xf numFmtId="190" fontId="0" fillId="0" borderId="25" xfId="0" applyNumberFormat="1" applyFill="1" applyBorder="1" applyAlignment="1">
      <alignment/>
    </xf>
    <xf numFmtId="190" fontId="0" fillId="0" borderId="48" xfId="0" applyNumberFormat="1" applyFill="1" applyBorder="1" applyAlignment="1">
      <alignment/>
    </xf>
    <xf numFmtId="187" fontId="0" fillId="0" borderId="23" xfId="0" applyNumberFormat="1" applyFill="1" applyBorder="1" applyAlignment="1">
      <alignment/>
    </xf>
    <xf numFmtId="187" fontId="0" fillId="0" borderId="27" xfId="0" applyNumberFormat="1" applyFill="1" applyBorder="1" applyAlignment="1">
      <alignment/>
    </xf>
    <xf numFmtId="187" fontId="0" fillId="0" borderId="29" xfId="0" applyNumberFormat="1" applyFill="1" applyBorder="1" applyAlignment="1">
      <alignment/>
    </xf>
    <xf numFmtId="0" fontId="0" fillId="0" borderId="24" xfId="0" applyFill="1" applyBorder="1" applyAlignment="1">
      <alignment/>
    </xf>
    <xf numFmtId="187" fontId="0" fillId="0" borderId="49" xfId="0" applyNumberFormat="1" applyFill="1" applyBorder="1" applyAlignment="1">
      <alignment/>
    </xf>
    <xf numFmtId="187" fontId="0" fillId="0" borderId="24" xfId="0" applyNumberFormat="1" applyFill="1" applyBorder="1" applyAlignment="1">
      <alignment/>
    </xf>
    <xf numFmtId="187" fontId="0" fillId="0" borderId="28" xfId="0" applyNumberFormat="1" applyFill="1" applyBorder="1" applyAlignment="1">
      <alignment/>
    </xf>
    <xf numFmtId="0" fontId="4" fillId="0" borderId="0" xfId="0" applyFont="1" applyFill="1" applyAlignment="1">
      <alignment horizontal="center" wrapText="1"/>
    </xf>
    <xf numFmtId="190" fontId="0" fillId="0" borderId="0" xfId="0" applyNumberFormat="1" applyFill="1" applyAlignment="1">
      <alignment/>
    </xf>
    <xf numFmtId="8" fontId="0" fillId="36" borderId="25" xfId="0" applyNumberFormat="1" applyFill="1" applyBorder="1" applyAlignment="1">
      <alignment/>
    </xf>
    <xf numFmtId="8" fontId="0" fillId="36" borderId="23" xfId="0" applyNumberFormat="1" applyFill="1" applyBorder="1" applyAlignment="1">
      <alignment/>
    </xf>
    <xf numFmtId="183" fontId="16" fillId="0" borderId="24" xfId="0" applyNumberFormat="1" applyFont="1" applyFill="1" applyBorder="1" applyAlignment="1">
      <alignment horizontal="center"/>
    </xf>
    <xf numFmtId="183" fontId="16" fillId="0" borderId="49" xfId="0" applyNumberFormat="1" applyFont="1" applyFill="1" applyBorder="1" applyAlignment="1">
      <alignment horizontal="center"/>
    </xf>
    <xf numFmtId="183" fontId="16" fillId="0" borderId="28" xfId="0" applyNumberFormat="1" applyFont="1" applyFill="1" applyBorder="1" applyAlignment="1">
      <alignment horizontal="center"/>
    </xf>
    <xf numFmtId="186" fontId="0" fillId="0" borderId="23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/>
    </xf>
    <xf numFmtId="186" fontId="0" fillId="0" borderId="23" xfId="0" applyNumberFormat="1" applyFill="1" applyBorder="1" applyAlignment="1">
      <alignment/>
    </xf>
    <xf numFmtId="186" fontId="0" fillId="0" borderId="23" xfId="44" applyNumberFormat="1" applyFont="1" applyFill="1" applyBorder="1" applyAlignment="1">
      <alignment horizontal="right"/>
    </xf>
    <xf numFmtId="193" fontId="0" fillId="0" borderId="23" xfId="59" applyNumberFormat="1" applyFont="1" applyFill="1" applyBorder="1" applyAlignment="1">
      <alignment/>
    </xf>
    <xf numFmtId="186" fontId="0" fillId="0" borderId="27" xfId="0" applyNumberFormat="1" applyFill="1" applyBorder="1" applyAlignment="1">
      <alignment/>
    </xf>
    <xf numFmtId="186" fontId="0" fillId="0" borderId="15" xfId="0" applyNumberFormat="1" applyFill="1" applyBorder="1" applyAlignment="1">
      <alignment/>
    </xf>
    <xf numFmtId="186" fontId="0" fillId="0" borderId="29" xfId="0" applyNumberFormat="1" applyFill="1" applyBorder="1" applyAlignment="1">
      <alignment/>
    </xf>
    <xf numFmtId="186" fontId="0" fillId="37" borderId="15" xfId="0" applyNumberFormat="1" applyFill="1" applyBorder="1" applyAlignment="1">
      <alignment horizontal="center"/>
    </xf>
    <xf numFmtId="186" fontId="0" fillId="33" borderId="15" xfId="0" applyNumberForma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0" fillId="33" borderId="51" xfId="0" applyFill="1" applyBorder="1" applyAlignment="1">
      <alignment/>
    </xf>
    <xf numFmtId="190" fontId="0" fillId="34" borderId="48" xfId="0" applyNumberFormat="1" applyFill="1" applyBorder="1" applyAlignment="1">
      <alignment/>
    </xf>
    <xf numFmtId="190" fontId="0" fillId="34" borderId="15" xfId="0" applyNumberFormat="1" applyFill="1" applyBorder="1" applyAlignment="1">
      <alignment/>
    </xf>
    <xf numFmtId="0" fontId="1" fillId="34" borderId="50" xfId="0" applyFont="1" applyFill="1" applyBorder="1" applyAlignment="1">
      <alignment horizontal="center"/>
    </xf>
    <xf numFmtId="0" fontId="0" fillId="34" borderId="51" xfId="0" applyFill="1" applyBorder="1" applyAlignment="1">
      <alignment/>
    </xf>
    <xf numFmtId="14" fontId="1" fillId="34" borderId="5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3" fontId="16" fillId="33" borderId="24" xfId="0" applyNumberFormat="1" applyFont="1" applyFill="1" applyBorder="1" applyAlignment="1">
      <alignment horizontal="center"/>
    </xf>
    <xf numFmtId="186" fontId="0" fillId="37" borderId="23" xfId="0" applyNumberFormat="1" applyFill="1" applyBorder="1" applyAlignment="1">
      <alignment horizontal="center"/>
    </xf>
    <xf numFmtId="186" fontId="0" fillId="33" borderId="23" xfId="0" applyNumberFormat="1" applyFill="1" applyBorder="1" applyAlignment="1">
      <alignment horizontal="center"/>
    </xf>
    <xf numFmtId="183" fontId="0" fillId="34" borderId="24" xfId="0" applyNumberFormat="1" applyFont="1" applyFill="1" applyBorder="1" applyAlignment="1">
      <alignment horizontal="center"/>
    </xf>
    <xf numFmtId="190" fontId="0" fillId="34" borderId="25" xfId="0" applyNumberFormat="1" applyFill="1" applyBorder="1" applyAlignment="1">
      <alignment/>
    </xf>
    <xf numFmtId="190" fontId="0" fillId="34" borderId="23" xfId="0" applyNumberFormat="1" applyFill="1" applyBorder="1" applyAlignment="1">
      <alignment/>
    </xf>
    <xf numFmtId="14" fontId="1" fillId="38" borderId="5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39" borderId="0" xfId="0" applyFont="1" applyFill="1" applyBorder="1" applyAlignment="1">
      <alignment horizontal="left"/>
    </xf>
    <xf numFmtId="0" fontId="9" fillId="39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1" fillId="38" borderId="0" xfId="0" applyFont="1" applyFill="1" applyBorder="1" applyAlignment="1">
      <alignment horizontal="center"/>
    </xf>
    <xf numFmtId="0" fontId="1" fillId="0" borderId="0" xfId="0" applyFont="1" applyBorder="1" applyAlignment="1" quotePrefix="1">
      <alignment horizontal="center" vertical="top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Heating Systems / Fuels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Estimated Annual Heating Costs for a Typical 2,000 sq. ft. NH Home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(using PSNH's current rates and fossil fuel prices as of April 28, 2008  at www.nh.gov/oep)</a:t>
            </a:r>
          </a:p>
        </c:rich>
      </c:tx>
      <c:layout>
        <c:manualLayout>
          <c:xMode val="factor"/>
          <c:yMode val="factor"/>
          <c:x val="0.033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7125"/>
          <c:w val="0.9327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'4) Fuel Cost Data'!$C$34</c:f>
              <c:strCache>
                <c:ptCount val="1"/>
                <c:pt idx="0">
                  <c:v>Heating Costs per Square Foot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'4) Fuel Cost Data'!$B$35:$B$41</c:f>
              <c:strCache>
                <c:ptCount val="6"/>
                <c:pt idx="0">
                  <c:v>Geo-thermal Heat Pump on PSNH's HEATSMART ($0.10379/kWh + $77.16 in annual service charges)</c:v>
                </c:pt>
                <c:pt idx="1">
                  <c:v>Natural Gas ($1.4695/therm)    (2nd tier)</c:v>
                </c:pt>
                <c:pt idx="2">
                  <c:v>Electric Heat w/ PSNH's HEATSMART ($0.10379/kWh + $77.16 in annual service charges)</c:v>
                </c:pt>
                <c:pt idx="3">
                  <c:v>Electric Heat -   PSNH Rate R ($0.13694 kWh)</c:v>
                </c:pt>
                <c:pt idx="4">
                  <c:v> # 2 Fuel Oil ($4.031/gal)</c:v>
                </c:pt>
                <c:pt idx="5">
                  <c:v>Liquid Propane ($3.203/gal)</c:v>
                </c:pt>
              </c:strCache>
            </c:strRef>
          </c:cat>
          <c:val>
            <c:numRef>
              <c:f>'4) Fuel Cost Data'!$D$35:$D$41</c:f>
              <c:numCache>
                <c:ptCount val="6"/>
                <c:pt idx="0">
                  <c:v>866.56</c:v>
                </c:pt>
                <c:pt idx="1">
                  <c:v>1887.27812</c:v>
                </c:pt>
                <c:pt idx="2">
                  <c:v>2486.4</c:v>
                </c:pt>
                <c:pt idx="3">
                  <c:v>3357.56</c:v>
                </c:pt>
                <c:pt idx="4">
                  <c:v>3511.67812</c:v>
                </c:pt>
                <c:pt idx="5">
                  <c:v>4189.27812</c:v>
                </c:pt>
              </c:numCache>
            </c:numRef>
          </c:val>
        </c:ser>
        <c:axId val="49283820"/>
        <c:axId val="40901197"/>
      </c:barChart>
      <c:catAx>
        <c:axId val="49283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Fuel Type / Heating Source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01197"/>
        <c:crosses val="autoZero"/>
        <c:auto val="1"/>
        <c:lblOffset val="100"/>
        <c:tickLblSkip val="1"/>
        <c:noMultiLvlLbl val="0"/>
      </c:catAx>
      <c:valAx>
        <c:axId val="40901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Heating Costs for 2,000 sq. ft. NH Home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838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Heating Systems / Fuels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Estimated Annual Heating Costs Per Square Foot for a Typical 2,000 sq. ft. NH Home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(using PSNH's current rates and fossil fuel prices as of April 28, 2008 at www.nh.gov/oep)
</a:t>
            </a:r>
          </a:p>
        </c:rich>
      </c:tx>
      <c:layout>
        <c:manualLayout>
          <c:xMode val="factor"/>
          <c:yMode val="factor"/>
          <c:x val="0.031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795"/>
          <c:w val="0.9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'4) Fuel Cost Data'!$C$34</c:f>
              <c:strCache>
                <c:ptCount val="1"/>
                <c:pt idx="0">
                  <c:v>Heating Costs per Square Foot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'4) Fuel Cost Data'!$B$35:$B$41</c:f>
              <c:strCache>
                <c:ptCount val="6"/>
                <c:pt idx="0">
                  <c:v>Geo-thermal Heat Pump on PSNH's HEATSMART ($0.10379/kWh + $77.16 in annual service charges)</c:v>
                </c:pt>
                <c:pt idx="1">
                  <c:v>Natural Gas ($1.4695/therm)    (2nd tier)</c:v>
                </c:pt>
                <c:pt idx="2">
                  <c:v>Electric Heat w/ PSNH's HEATSMART ($0.10379/kWh + $77.16 in annual service charges)</c:v>
                </c:pt>
                <c:pt idx="3">
                  <c:v>Electric Heat -   PSNH Rate R ($0.13694 kWh)</c:v>
                </c:pt>
                <c:pt idx="4">
                  <c:v> # 2 Fuel Oil ($4.031/gal)</c:v>
                </c:pt>
                <c:pt idx="5">
                  <c:v>Liquid Propane ($3.203/gal)</c:v>
                </c:pt>
              </c:strCache>
            </c:strRef>
          </c:cat>
          <c:val>
            <c:numRef>
              <c:f>'4) Fuel Cost Data'!$C$35:$C$41</c:f>
              <c:numCache>
                <c:ptCount val="6"/>
                <c:pt idx="0">
                  <c:v>0.3947</c:v>
                </c:pt>
                <c:pt idx="1">
                  <c:v>0.889</c:v>
                </c:pt>
                <c:pt idx="2">
                  <c:v>1.2432</c:v>
                </c:pt>
                <c:pt idx="3">
                  <c:v>1.6402</c:v>
                </c:pt>
                <c:pt idx="4">
                  <c:v>1.7012</c:v>
                </c:pt>
                <c:pt idx="5">
                  <c:v>2.04</c:v>
                </c:pt>
              </c:numCache>
            </c:numRef>
          </c:val>
        </c:ser>
        <c:axId val="32566454"/>
        <c:axId val="24662631"/>
      </c:barChart>
      <c:catAx>
        <c:axId val="32566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Fuel Type / Heating Source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62631"/>
        <c:crosses val="autoZero"/>
        <c:auto val="1"/>
        <c:lblOffset val="100"/>
        <c:tickLblSkip val="1"/>
        <c:noMultiLvlLbl val="0"/>
      </c:catAx>
      <c:valAx>
        <c:axId val="24662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Heating Cost per Sqaure Foot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64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Fuel Price Changes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225"/>
          <c:w val="0.878"/>
          <c:h val="0.87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'4) Fuel Cost Data'!$I$7:$N$7</c:f>
            </c:strRef>
          </c:cat>
          <c:val>
            <c:numRef>
              <c:f>'4) Fuel Cost Data'!$I$8:$N$8</c:f>
            </c:numRef>
          </c:val>
          <c:smooth val="0"/>
        </c:ser>
        <c:ser>
          <c:idx val="1"/>
          <c:order val="1"/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'4) Fuel Cost Data'!$I$7:$N$7</c:f>
            </c:strRef>
          </c:cat>
          <c:val>
            <c:numRef>
              <c:f>'4) Fuel Cost Data'!$I$9:$N$9</c:f>
            </c:numRef>
          </c:val>
          <c:smooth val="0"/>
        </c:ser>
        <c:ser>
          <c:idx val="2"/>
          <c:order val="2"/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'4) Fuel Cost Data'!$I$7:$N$7</c:f>
            </c:strRef>
          </c:cat>
          <c:val>
            <c:numRef>
              <c:f>'4) Fuel Cost Data'!$I$10:$N$10</c:f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'4) Fuel Cost Data'!$I$7:$N$7</c:f>
            </c:strRef>
          </c:cat>
          <c:val>
            <c:numRef>
              <c:f>'4) Fuel Cost Data'!$I$11:$N$11</c:f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66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'4) Fuel Cost Data'!$I$7:$N$7</c:f>
            </c:strRef>
          </c:cat>
          <c:val>
            <c:numRef>
              <c:f>'4) Fuel Cost Data'!$I$12:$N$12</c:f>
            </c:numRef>
          </c:val>
          <c:smooth val="0"/>
        </c:ser>
        <c:ser>
          <c:idx val="5"/>
          <c:order val="5"/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'4) Fuel Cost Data'!$I$7:$N$7</c:f>
            </c:strRef>
          </c:cat>
          <c:val>
            <c:numRef>
              <c:f>'4) Fuel Cost Data'!$I$13:$N$13</c:f>
            </c:numRef>
          </c:val>
          <c:smooth val="0"/>
        </c:ser>
        <c:ser>
          <c:idx val="6"/>
          <c:order val="6"/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8080FF"/>
              </a:solidFill>
              <a:ln>
                <a:solidFill>
                  <a:srgbClr val="A6CAF0"/>
                </a:solidFill>
              </a:ln>
            </c:spPr>
          </c:marker>
          <c:cat>
            <c:strRef>
              <c:f>'4) Fuel Cost Data'!$I$7:$N$7</c:f>
            </c:strRef>
          </c:cat>
          <c:val>
            <c:numRef>
              <c:f>'4) Fuel Cost Data'!$I$14:$N$14</c:f>
            </c:numRef>
          </c:val>
          <c:smooth val="0"/>
        </c:ser>
        <c:marker val="1"/>
        <c:axId val="20637088"/>
        <c:axId val="51516065"/>
      </c:lineChart>
      <c:catAx>
        <c:axId val="2063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16065"/>
        <c:crosses val="autoZero"/>
        <c:auto val="1"/>
        <c:lblOffset val="100"/>
        <c:tickLblSkip val="1"/>
        <c:noMultiLvlLbl val="0"/>
      </c:catAx>
      <c:valAx>
        <c:axId val="51516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70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42225"/>
          <c:w val="0.07875"/>
          <c:h val="0.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>
    <tabColor indexed="10"/>
  </sheetPr>
  <sheetViews>
    <sheetView workbookViewId="0" zoomScale="85"/>
  </sheetViews>
  <pageMargins left="0.25" right="0.25" top="0.5" bottom="0.25" header="0" footer="0.2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>
    <tabColor indexed="10"/>
  </sheetPr>
  <sheetViews>
    <sheetView tabSelected="1" workbookViewId="0" zoomScale="85"/>
  </sheetViews>
  <pageMargins left="0.25" right="0.25" top="0.5" bottom="0.25" header="0" footer="0.25"/>
  <pageSetup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7">
    <tabColor indexed="45"/>
  </sheetPr>
  <sheetViews>
    <sheetView workbookViewId="0" zoomScale="86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152400</xdr:rowOff>
    </xdr:from>
    <xdr:to>
      <xdr:col>6</xdr:col>
      <xdr:colOff>9525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629025" y="1304925"/>
          <a:ext cx="819150" cy="5048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19050</xdr:rowOff>
    </xdr:from>
    <xdr:to>
      <xdr:col>5</xdr:col>
      <xdr:colOff>809625</xdr:colOff>
      <xdr:row>5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3629025" y="666750"/>
          <a:ext cx="790575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361950</xdr:colOff>
      <xdr:row>10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2200275" y="1314450"/>
          <a:ext cx="942975" cy="4762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8</xdr:row>
      <xdr:rowOff>0</xdr:rowOff>
    </xdr:from>
    <xdr:to>
      <xdr:col>5</xdr:col>
      <xdr:colOff>819150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3143250" y="1314450"/>
          <a:ext cx="12858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4</xdr:col>
      <xdr:colOff>371475</xdr:colOff>
      <xdr:row>7</xdr:row>
      <xdr:rowOff>123825</xdr:rowOff>
    </xdr:to>
    <xdr:sp>
      <xdr:nvSpPr>
        <xdr:cNvPr id="5" name="Line 5"/>
        <xdr:cNvSpPr>
          <a:spLocks/>
        </xdr:cNvSpPr>
      </xdr:nvSpPr>
      <xdr:spPr>
        <a:xfrm flipV="1">
          <a:off x="3152775" y="6667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419100</xdr:colOff>
      <xdr:row>5</xdr:row>
      <xdr:rowOff>161925</xdr:rowOff>
    </xdr:to>
    <xdr:sp>
      <xdr:nvSpPr>
        <xdr:cNvPr id="6" name="Line 6"/>
        <xdr:cNvSpPr>
          <a:spLocks/>
        </xdr:cNvSpPr>
      </xdr:nvSpPr>
      <xdr:spPr>
        <a:xfrm flipV="1">
          <a:off x="2181225" y="647700"/>
          <a:ext cx="1019175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171825" y="647700"/>
          <a:ext cx="1285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</xdr:row>
      <xdr:rowOff>66675</xdr:rowOff>
    </xdr:from>
    <xdr:to>
      <xdr:col>4</xdr:col>
      <xdr:colOff>161925</xdr:colOff>
      <xdr:row>5</xdr:row>
      <xdr:rowOff>142875</xdr:rowOff>
    </xdr:to>
    <xdr:sp>
      <xdr:nvSpPr>
        <xdr:cNvPr id="8" name="Line 8"/>
        <xdr:cNvSpPr>
          <a:spLocks/>
        </xdr:cNvSpPr>
      </xdr:nvSpPr>
      <xdr:spPr>
        <a:xfrm flipV="1">
          <a:off x="2190750" y="390525"/>
          <a:ext cx="752475" cy="561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</xdr:row>
      <xdr:rowOff>66675</xdr:rowOff>
    </xdr:from>
    <xdr:to>
      <xdr:col>5</xdr:col>
      <xdr:colOff>0</xdr:colOff>
      <xdr:row>5</xdr:row>
      <xdr:rowOff>152400</xdr:rowOff>
    </xdr:to>
    <xdr:sp>
      <xdr:nvSpPr>
        <xdr:cNvPr id="9" name="Line 9"/>
        <xdr:cNvSpPr>
          <a:spLocks/>
        </xdr:cNvSpPr>
      </xdr:nvSpPr>
      <xdr:spPr>
        <a:xfrm flipH="1" flipV="1">
          <a:off x="2943225" y="390525"/>
          <a:ext cx="666750" cy="571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95250</xdr:rowOff>
    </xdr:from>
    <xdr:to>
      <xdr:col>5</xdr:col>
      <xdr:colOff>219075</xdr:colOff>
      <xdr:row>2</xdr:row>
      <xdr:rowOff>66675</xdr:rowOff>
    </xdr:to>
    <xdr:sp>
      <xdr:nvSpPr>
        <xdr:cNvPr id="10" name="Line 10"/>
        <xdr:cNvSpPr>
          <a:spLocks/>
        </xdr:cNvSpPr>
      </xdr:nvSpPr>
      <xdr:spPr>
        <a:xfrm flipV="1">
          <a:off x="2924175" y="95250"/>
          <a:ext cx="904875" cy="2952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95250</xdr:rowOff>
    </xdr:from>
    <xdr:to>
      <xdr:col>6</xdr:col>
      <xdr:colOff>19050</xdr:colOff>
      <xdr:row>3</xdr:row>
      <xdr:rowOff>152400</xdr:rowOff>
    </xdr:to>
    <xdr:sp>
      <xdr:nvSpPr>
        <xdr:cNvPr id="11" name="Line 11"/>
        <xdr:cNvSpPr>
          <a:spLocks/>
        </xdr:cNvSpPr>
      </xdr:nvSpPr>
      <xdr:spPr>
        <a:xfrm flipH="1" flipV="1">
          <a:off x="3819525" y="95250"/>
          <a:ext cx="638175" cy="5429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95250</xdr:rowOff>
    </xdr:from>
    <xdr:to>
      <xdr:col>5</xdr:col>
      <xdr:colOff>209550</xdr:colOff>
      <xdr:row>4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3181350" y="95250"/>
          <a:ext cx="638175" cy="561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</xdr:row>
      <xdr:rowOff>152400</xdr:rowOff>
    </xdr:from>
    <xdr:to>
      <xdr:col>2</xdr:col>
      <xdr:colOff>885825</xdr:colOff>
      <xdr:row>9</xdr:row>
      <xdr:rowOff>133350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114425" y="1304925"/>
          <a:ext cx="9906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floors at 8' each + 1' flooring = 17'</a:t>
          </a:r>
        </a:p>
      </xdr:txBody>
    </xdr:sp>
    <xdr:clientData/>
  </xdr:twoCellAnchor>
  <xdr:twoCellAnchor>
    <xdr:from>
      <xdr:col>3</xdr:col>
      <xdr:colOff>323850</xdr:colOff>
      <xdr:row>11</xdr:row>
      <xdr:rowOff>76200</xdr:rowOff>
    </xdr:from>
    <xdr:to>
      <xdr:col>4</xdr:col>
      <xdr:colOff>361950</xdr:colOff>
      <xdr:row>12</xdr:row>
      <xdr:rowOff>66675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495550" y="1885950"/>
          <a:ext cx="647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28' deep</a:t>
          </a:r>
        </a:p>
      </xdr:txBody>
    </xdr:sp>
    <xdr:clientData/>
  </xdr:twoCellAnchor>
  <xdr:twoCellAnchor>
    <xdr:from>
      <xdr:col>5</xdr:col>
      <xdr:colOff>581025</xdr:colOff>
      <xdr:row>9</xdr:row>
      <xdr:rowOff>104775</xdr:rowOff>
    </xdr:from>
    <xdr:to>
      <xdr:col>6</xdr:col>
      <xdr:colOff>361950</xdr:colOff>
      <xdr:row>10</xdr:row>
      <xdr:rowOff>95250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191000" y="1581150"/>
          <a:ext cx="609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36' wide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077075"/>
    <xdr:graphicFrame>
      <xdr:nvGraphicFramePr>
        <xdr:cNvPr id="1" name="Shape 1025"/>
        <xdr:cNvGraphicFramePr/>
      </xdr:nvGraphicFramePr>
      <xdr:xfrm>
        <a:off x="0" y="0"/>
        <a:ext cx="959167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077075"/>
    <xdr:graphicFrame>
      <xdr:nvGraphicFramePr>
        <xdr:cNvPr id="1" name="Shape 1025"/>
        <xdr:cNvGraphicFramePr/>
      </xdr:nvGraphicFramePr>
      <xdr:xfrm>
        <a:off x="0" y="0"/>
        <a:ext cx="959167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h.gov/oep/index.htm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2:I71"/>
  <sheetViews>
    <sheetView showGridLines="0" zoomScalePageLayoutView="0" workbookViewId="0" topLeftCell="A7">
      <selection activeCell="C4" sqref="C4:H4"/>
    </sheetView>
  </sheetViews>
  <sheetFormatPr defaultColWidth="9.140625" defaultRowHeight="12.75"/>
  <cols>
    <col min="1" max="1" width="2.7109375" style="0" customWidth="1"/>
    <col min="2" max="2" width="1.7109375" style="0" customWidth="1"/>
    <col min="3" max="3" width="29.7109375" style="0" customWidth="1"/>
    <col min="4" max="4" width="11.421875" style="0" customWidth="1"/>
    <col min="5" max="6" width="10.7109375" style="0" customWidth="1"/>
    <col min="7" max="7" width="14.57421875" style="0" customWidth="1"/>
    <col min="8" max="8" width="9.7109375" style="0" customWidth="1"/>
    <col min="9" max="9" width="1.7109375" style="0" customWidth="1"/>
  </cols>
  <sheetData>
    <row r="1" ht="3.75" customHeight="1"/>
    <row r="2" spans="2:9" ht="7.5" customHeight="1">
      <c r="B2" s="4"/>
      <c r="C2" s="5"/>
      <c r="D2" s="5"/>
      <c r="E2" s="5"/>
      <c r="F2" s="5"/>
      <c r="G2" s="5"/>
      <c r="H2" s="5"/>
      <c r="I2" s="6"/>
    </row>
    <row r="3" spans="2:9" ht="15" customHeight="1">
      <c r="B3" s="7"/>
      <c r="C3" s="275" t="s">
        <v>75</v>
      </c>
      <c r="D3" s="275"/>
      <c r="E3" s="275"/>
      <c r="F3" s="275"/>
      <c r="G3" s="275"/>
      <c r="H3" s="275"/>
      <c r="I3" s="8"/>
    </row>
    <row r="4" spans="2:9" ht="15" customHeight="1">
      <c r="B4" s="7"/>
      <c r="C4" s="275" t="s">
        <v>76</v>
      </c>
      <c r="D4" s="275"/>
      <c r="E4" s="275"/>
      <c r="F4" s="275"/>
      <c r="G4" s="275"/>
      <c r="H4" s="275"/>
      <c r="I4" s="8"/>
    </row>
    <row r="5" spans="2:9" ht="15" customHeight="1">
      <c r="B5" s="7"/>
      <c r="C5" s="1"/>
      <c r="D5" s="1"/>
      <c r="E5" s="1"/>
      <c r="F5" s="1"/>
      <c r="G5" s="1"/>
      <c r="H5" s="1"/>
      <c r="I5" s="8"/>
    </row>
    <row r="6" spans="2:9" ht="15" customHeight="1">
      <c r="B6" s="7"/>
      <c r="C6" s="272" t="s">
        <v>77</v>
      </c>
      <c r="D6" s="272"/>
      <c r="E6" s="272"/>
      <c r="F6" s="272"/>
      <c r="G6" s="272"/>
      <c r="H6" s="272"/>
      <c r="I6" s="8"/>
    </row>
    <row r="7" spans="2:9" ht="6" customHeight="1">
      <c r="B7" s="7"/>
      <c r="C7" s="81"/>
      <c r="D7" s="34"/>
      <c r="E7" s="34"/>
      <c r="F7" s="34"/>
      <c r="G7" s="34"/>
      <c r="H7" s="34"/>
      <c r="I7" s="8"/>
    </row>
    <row r="8" spans="2:9" ht="15" customHeight="1">
      <c r="B8" s="7"/>
      <c r="C8" s="37" t="s">
        <v>137</v>
      </c>
      <c r="E8" s="40"/>
      <c r="F8" s="129"/>
      <c r="G8" s="130">
        <f>'2) Heating Load Calc.s'!F52</f>
        <v>38721.99840964972</v>
      </c>
      <c r="H8" s="131" t="s">
        <v>136</v>
      </c>
      <c r="I8" s="8"/>
    </row>
    <row r="9" spans="2:9" ht="15.75" customHeight="1">
      <c r="B9" s="7"/>
      <c r="C9" s="40" t="s">
        <v>139</v>
      </c>
      <c r="D9" s="1"/>
      <c r="G9" s="178">
        <v>2000</v>
      </c>
      <c r="H9" s="177" t="s">
        <v>135</v>
      </c>
      <c r="I9" s="8"/>
    </row>
    <row r="10" spans="2:9" ht="6" customHeight="1">
      <c r="B10" s="7"/>
      <c r="C10" s="40"/>
      <c r="D10" s="1"/>
      <c r="G10" s="176"/>
      <c r="H10" s="1"/>
      <c r="I10" s="8"/>
    </row>
    <row r="11" spans="2:9" ht="15.75" customHeight="1">
      <c r="B11" s="7"/>
      <c r="C11" s="272" t="s">
        <v>78</v>
      </c>
      <c r="D11" s="272"/>
      <c r="E11" s="272"/>
      <c r="F11" s="272"/>
      <c r="G11" s="272"/>
      <c r="H11" s="272"/>
      <c r="I11" s="8"/>
    </row>
    <row r="12" spans="2:9" ht="15.75" customHeight="1">
      <c r="B12" s="7"/>
      <c r="C12" s="274" t="s">
        <v>80</v>
      </c>
      <c r="D12" s="274"/>
      <c r="E12" s="274"/>
      <c r="F12" s="274"/>
      <c r="G12" s="274"/>
      <c r="H12" s="274"/>
      <c r="I12" s="8"/>
    </row>
    <row r="13" spans="2:9" ht="15.75" customHeight="1">
      <c r="B13" s="7"/>
      <c r="C13" s="99" t="s">
        <v>79</v>
      </c>
      <c r="D13" s="99"/>
      <c r="E13" s="99"/>
      <c r="F13" s="99"/>
      <c r="G13" s="99"/>
      <c r="H13" s="99"/>
      <c r="I13" s="8"/>
    </row>
    <row r="14" spans="2:9" ht="18">
      <c r="B14" s="7"/>
      <c r="C14" s="110" t="s">
        <v>82</v>
      </c>
      <c r="D14" s="277" t="s">
        <v>83</v>
      </c>
      <c r="E14" s="277"/>
      <c r="F14" s="277"/>
      <c r="G14" s="277"/>
      <c r="H14" s="109"/>
      <c r="I14" s="8"/>
    </row>
    <row r="15" spans="2:9" ht="15" customHeight="1">
      <c r="B15" s="7"/>
      <c r="C15" s="1"/>
      <c r="D15" s="276" t="s">
        <v>81</v>
      </c>
      <c r="E15" s="276"/>
      <c r="F15" s="276"/>
      <c r="G15" s="276"/>
      <c r="H15" s="1"/>
      <c r="I15" s="8"/>
    </row>
    <row r="16" spans="2:9" ht="12.75">
      <c r="B16" s="7"/>
      <c r="C16" s="179" t="s">
        <v>4</v>
      </c>
      <c r="D16" s="1"/>
      <c r="E16" s="1"/>
      <c r="F16" s="1"/>
      <c r="G16" s="1"/>
      <c r="H16" s="1"/>
      <c r="I16" s="8"/>
    </row>
    <row r="17" spans="2:9" ht="15.75">
      <c r="B17" s="7"/>
      <c r="C17" s="9" t="s">
        <v>84</v>
      </c>
      <c r="D17" s="9"/>
      <c r="E17" s="9"/>
      <c r="F17" s="9"/>
      <c r="G17" s="9"/>
      <c r="H17" s="1"/>
      <c r="I17" s="8"/>
    </row>
    <row r="18" spans="2:9" ht="15.75">
      <c r="B18" s="7"/>
      <c r="C18" s="9" t="s">
        <v>85</v>
      </c>
      <c r="D18" s="10"/>
      <c r="E18" s="10"/>
      <c r="F18" s="10"/>
      <c r="G18" s="10"/>
      <c r="H18" s="1"/>
      <c r="I18" s="8"/>
    </row>
    <row r="19" spans="2:9" ht="15" customHeight="1">
      <c r="B19" s="7"/>
      <c r="C19" s="9" t="s">
        <v>86</v>
      </c>
      <c r="D19" s="9"/>
      <c r="E19" s="9"/>
      <c r="F19" s="9"/>
      <c r="G19" s="9"/>
      <c r="H19" s="1"/>
      <c r="I19" s="8"/>
    </row>
    <row r="20" spans="2:9" ht="15.75">
      <c r="B20" s="7"/>
      <c r="C20" s="9" t="s">
        <v>87</v>
      </c>
      <c r="D20" s="9"/>
      <c r="E20" s="9"/>
      <c r="F20" s="9"/>
      <c r="G20" s="9"/>
      <c r="H20" s="1"/>
      <c r="I20" s="8"/>
    </row>
    <row r="21" spans="2:9" ht="15.75">
      <c r="B21" s="7"/>
      <c r="C21" s="32" t="s">
        <v>88</v>
      </c>
      <c r="D21" s="9"/>
      <c r="E21" s="9"/>
      <c r="F21" s="9"/>
      <c r="G21" s="9"/>
      <c r="H21" s="1"/>
      <c r="I21" s="8"/>
    </row>
    <row r="22" spans="2:9" ht="15.75">
      <c r="B22" s="7"/>
      <c r="C22" s="32" t="s">
        <v>89</v>
      </c>
      <c r="D22" s="9"/>
      <c r="E22" s="9"/>
      <c r="F22" s="9"/>
      <c r="G22" s="9"/>
      <c r="H22" s="1"/>
      <c r="I22" s="8"/>
    </row>
    <row r="23" spans="2:9" ht="15.75">
      <c r="B23" s="7"/>
      <c r="C23" s="9" t="s">
        <v>90</v>
      </c>
      <c r="D23" s="9"/>
      <c r="E23" s="9"/>
      <c r="F23" s="9"/>
      <c r="G23" s="9"/>
      <c r="H23" s="1"/>
      <c r="I23" s="8"/>
    </row>
    <row r="24" spans="2:9" ht="15.75">
      <c r="B24" s="7"/>
      <c r="C24" s="9" t="s">
        <v>148</v>
      </c>
      <c r="D24" s="9"/>
      <c r="E24" s="9"/>
      <c r="F24" s="9"/>
      <c r="G24" s="9"/>
      <c r="H24" s="1"/>
      <c r="I24" s="8"/>
    </row>
    <row r="25" spans="2:9" ht="6" customHeight="1">
      <c r="B25" s="7"/>
      <c r="C25" s="1"/>
      <c r="D25" s="1"/>
      <c r="E25" s="1"/>
      <c r="F25" s="1"/>
      <c r="G25" s="1"/>
      <c r="H25" s="1"/>
      <c r="I25" s="8"/>
    </row>
    <row r="26" spans="2:9" ht="15.75" customHeight="1">
      <c r="B26" s="7"/>
      <c r="C26" s="272" t="s">
        <v>134</v>
      </c>
      <c r="D26" s="272"/>
      <c r="E26" s="272"/>
      <c r="F26" s="272"/>
      <c r="G26" s="272"/>
      <c r="H26" s="272"/>
      <c r="I26" s="8"/>
    </row>
    <row r="27" spans="2:9" ht="15.75" customHeight="1">
      <c r="B27" s="7"/>
      <c r="C27" s="175" t="s">
        <v>153</v>
      </c>
      <c r="D27" s="1"/>
      <c r="E27" s="1"/>
      <c r="F27" s="1"/>
      <c r="G27" s="1"/>
      <c r="H27" s="1"/>
      <c r="I27" s="8"/>
    </row>
    <row r="28" spans="2:9" ht="15.75" customHeight="1">
      <c r="B28" s="7"/>
      <c r="C28" s="1" t="s">
        <v>149</v>
      </c>
      <c r="D28" s="1"/>
      <c r="E28" s="1"/>
      <c r="F28" s="1"/>
      <c r="G28" s="1"/>
      <c r="H28" s="1"/>
      <c r="I28" s="8"/>
    </row>
    <row r="29" spans="2:9" ht="15.75" customHeight="1">
      <c r="B29" s="7"/>
      <c r="C29" s="40" t="s">
        <v>150</v>
      </c>
      <c r="D29" s="1"/>
      <c r="E29" s="1"/>
      <c r="F29" s="1"/>
      <c r="G29" s="1"/>
      <c r="H29" s="1"/>
      <c r="I29" s="8"/>
    </row>
    <row r="30" spans="2:9" ht="6" customHeight="1">
      <c r="B30" s="7"/>
      <c r="C30" s="40"/>
      <c r="D30" s="1"/>
      <c r="E30" s="1"/>
      <c r="F30" s="1"/>
      <c r="G30" s="1"/>
      <c r="H30" s="1"/>
      <c r="I30" s="8"/>
    </row>
    <row r="31" spans="2:9" ht="15.75" customHeight="1">
      <c r="B31" s="7"/>
      <c r="C31" s="272" t="s">
        <v>94</v>
      </c>
      <c r="D31" s="272"/>
      <c r="E31" s="272"/>
      <c r="F31" s="272"/>
      <c r="G31" s="272"/>
      <c r="H31" s="272"/>
      <c r="I31" s="8"/>
    </row>
    <row r="32" spans="2:9" ht="6" customHeight="1">
      <c r="B32" s="7"/>
      <c r="C32" s="1"/>
      <c r="D32" s="1"/>
      <c r="E32" s="1"/>
      <c r="F32" s="1"/>
      <c r="G32" s="1"/>
      <c r="H32" s="1"/>
      <c r="I32" s="8"/>
    </row>
    <row r="33" spans="2:9" ht="15.75" customHeight="1">
      <c r="B33" s="7"/>
      <c r="C33" s="40" t="s">
        <v>138</v>
      </c>
      <c r="D33" s="1"/>
      <c r="E33" s="1"/>
      <c r="F33" s="1"/>
      <c r="G33" s="1"/>
      <c r="H33" s="1"/>
      <c r="I33" s="8"/>
    </row>
    <row r="34" spans="2:9" ht="6" customHeight="1">
      <c r="B34" s="7"/>
      <c r="C34" s="40"/>
      <c r="D34" s="1"/>
      <c r="E34" s="1"/>
      <c r="F34" s="1"/>
      <c r="G34" s="1"/>
      <c r="H34" s="1"/>
      <c r="I34" s="8"/>
    </row>
    <row r="35" spans="2:9" ht="14.25" customHeight="1">
      <c r="B35" s="7"/>
      <c r="C35" s="273" t="s">
        <v>95</v>
      </c>
      <c r="D35" s="273"/>
      <c r="E35" s="273"/>
      <c r="F35" s="273"/>
      <c r="G35" s="273"/>
      <c r="H35" s="273"/>
      <c r="I35" s="8"/>
    </row>
    <row r="36" spans="2:9" ht="6" customHeight="1">
      <c r="B36" s="7"/>
      <c r="C36" s="1"/>
      <c r="D36" s="1"/>
      <c r="E36" s="1"/>
      <c r="F36" s="1"/>
      <c r="G36" s="1"/>
      <c r="H36" s="1"/>
      <c r="I36" s="8"/>
    </row>
    <row r="37" spans="2:9" ht="15.75">
      <c r="B37" s="7"/>
      <c r="C37" s="32" t="s">
        <v>32</v>
      </c>
      <c r="D37" s="14"/>
      <c r="E37" s="14"/>
      <c r="F37" s="14"/>
      <c r="G37" s="14"/>
      <c r="H37" s="138">
        <v>7478</v>
      </c>
      <c r="I37" s="8"/>
    </row>
    <row r="38" spans="2:9" ht="5.25" customHeight="1">
      <c r="B38" s="7"/>
      <c r="C38" s="1"/>
      <c r="D38" s="1"/>
      <c r="E38" s="1"/>
      <c r="F38" s="1"/>
      <c r="G38" s="1"/>
      <c r="H38" s="1"/>
      <c r="I38" s="8"/>
    </row>
    <row r="39" spans="2:9" ht="15.75">
      <c r="B39" s="7"/>
      <c r="C39" s="32" t="s">
        <v>96</v>
      </c>
      <c r="D39" s="1"/>
      <c r="E39" s="1"/>
      <c r="F39" s="1"/>
      <c r="G39" s="1"/>
      <c r="H39" s="1"/>
      <c r="I39" s="8"/>
    </row>
    <row r="40" spans="2:9" ht="6" customHeight="1" thickBot="1">
      <c r="B40" s="7"/>
      <c r="E40" s="23"/>
      <c r="F40" s="33"/>
      <c r="G40" s="33"/>
      <c r="H40" s="1"/>
      <c r="I40" s="8"/>
    </row>
    <row r="41" spans="2:9" ht="12.75">
      <c r="B41" s="7"/>
      <c r="C41" s="41" t="s">
        <v>5</v>
      </c>
      <c r="D41" s="42" t="s">
        <v>5</v>
      </c>
      <c r="E41" s="43" t="s">
        <v>23</v>
      </c>
      <c r="F41" s="113" t="s">
        <v>123</v>
      </c>
      <c r="G41" s="61" t="s">
        <v>21</v>
      </c>
      <c r="H41" s="1"/>
      <c r="I41" s="8"/>
    </row>
    <row r="42" spans="2:9" ht="13.5" thickBot="1">
      <c r="B42" s="7"/>
      <c r="C42" s="44" t="s">
        <v>14</v>
      </c>
      <c r="D42" s="45" t="s">
        <v>6</v>
      </c>
      <c r="E42" s="46" t="s">
        <v>19</v>
      </c>
      <c r="F42" s="63" t="s">
        <v>18</v>
      </c>
      <c r="G42" s="46" t="s">
        <v>18</v>
      </c>
      <c r="H42" s="1"/>
      <c r="I42" s="8"/>
    </row>
    <row r="43" spans="2:9" ht="3" customHeight="1">
      <c r="B43" s="7"/>
      <c r="C43" s="58"/>
      <c r="D43" s="59"/>
      <c r="E43" s="60"/>
      <c r="F43" s="111"/>
      <c r="G43" s="112"/>
      <c r="H43" s="1"/>
      <c r="I43" s="8"/>
    </row>
    <row r="44" spans="2:9" ht="12.75">
      <c r="B44" s="7"/>
      <c r="C44" s="47" t="s">
        <v>25</v>
      </c>
      <c r="D44" s="48" t="s">
        <v>7</v>
      </c>
      <c r="E44" s="49">
        <v>3413</v>
      </c>
      <c r="F44" s="114">
        <v>1</v>
      </c>
      <c r="G44" s="115">
        <v>1</v>
      </c>
      <c r="H44" s="1"/>
      <c r="I44" s="8"/>
    </row>
    <row r="45" spans="2:9" ht="12.75">
      <c r="B45" s="7"/>
      <c r="C45" s="47" t="s">
        <v>26</v>
      </c>
      <c r="D45" s="48" t="s">
        <v>7</v>
      </c>
      <c r="E45" s="49">
        <v>3413</v>
      </c>
      <c r="F45" s="114">
        <v>1</v>
      </c>
      <c r="G45" s="115">
        <v>1</v>
      </c>
      <c r="H45" s="1"/>
      <c r="I45" s="8"/>
    </row>
    <row r="46" spans="2:9" ht="12.75">
      <c r="B46" s="7"/>
      <c r="C46" s="47" t="s">
        <v>27</v>
      </c>
      <c r="D46" s="48" t="s">
        <v>12</v>
      </c>
      <c r="E46" s="49">
        <v>139000</v>
      </c>
      <c r="F46" s="114">
        <v>0.8</v>
      </c>
      <c r="G46" s="115">
        <v>0.9</v>
      </c>
      <c r="H46" s="1"/>
      <c r="I46" s="8"/>
    </row>
    <row r="47" spans="2:9" ht="12.75">
      <c r="B47" s="7"/>
      <c r="C47" s="47" t="s">
        <v>28</v>
      </c>
      <c r="D47" s="48" t="s">
        <v>12</v>
      </c>
      <c r="E47" s="49">
        <v>91600</v>
      </c>
      <c r="F47" s="114">
        <v>0.8</v>
      </c>
      <c r="G47" s="115">
        <v>0.9</v>
      </c>
      <c r="H47" s="1"/>
      <c r="I47" s="8"/>
    </row>
    <row r="48" spans="2:9" ht="12.75">
      <c r="B48" s="7"/>
      <c r="C48" s="47" t="s">
        <v>29</v>
      </c>
      <c r="D48" s="48" t="s">
        <v>13</v>
      </c>
      <c r="E48" s="49">
        <v>100000</v>
      </c>
      <c r="F48" s="114">
        <v>0.8</v>
      </c>
      <c r="G48" s="115">
        <v>0.9</v>
      </c>
      <c r="H48" s="1"/>
      <c r="I48" s="8"/>
    </row>
    <row r="49" spans="2:9" ht="12.75">
      <c r="B49" s="7"/>
      <c r="C49" s="47" t="s">
        <v>30</v>
      </c>
      <c r="D49" s="48" t="s">
        <v>7</v>
      </c>
      <c r="E49" s="49">
        <v>3413</v>
      </c>
      <c r="F49" s="114">
        <v>2</v>
      </c>
      <c r="G49" s="115">
        <v>0.9</v>
      </c>
      <c r="H49" s="1"/>
      <c r="I49" s="8"/>
    </row>
    <row r="50" spans="2:9" ht="12.75">
      <c r="B50" s="7"/>
      <c r="C50" s="47" t="s">
        <v>31</v>
      </c>
      <c r="D50" s="48" t="s">
        <v>7</v>
      </c>
      <c r="E50" s="49">
        <v>3413</v>
      </c>
      <c r="F50" s="116">
        <v>3.5</v>
      </c>
      <c r="G50" s="115">
        <v>0.95</v>
      </c>
      <c r="H50" s="1"/>
      <c r="I50" s="8"/>
    </row>
    <row r="51" spans="2:9" ht="3" customHeight="1" thickBot="1">
      <c r="B51" s="7"/>
      <c r="C51" s="56"/>
      <c r="D51" s="50"/>
      <c r="E51" s="57"/>
      <c r="F51" s="64"/>
      <c r="G51" s="62"/>
      <c r="H51" s="1"/>
      <c r="I51" s="8"/>
    </row>
    <row r="52" spans="2:9" ht="6" customHeight="1">
      <c r="B52" s="7"/>
      <c r="C52" s="1"/>
      <c r="D52" s="1"/>
      <c r="E52" s="1"/>
      <c r="F52" s="1"/>
      <c r="G52" s="1"/>
      <c r="H52" s="1"/>
      <c r="I52" s="8"/>
    </row>
    <row r="53" spans="2:9" ht="12.75">
      <c r="B53" s="7"/>
      <c r="C53" t="s">
        <v>151</v>
      </c>
      <c r="I53" s="8"/>
    </row>
    <row r="54" spans="2:9" ht="4.5" customHeight="1">
      <c r="B54" s="7"/>
      <c r="I54" s="8"/>
    </row>
    <row r="55" spans="2:9" ht="12.75">
      <c r="B55" s="7"/>
      <c r="C55" s="51" t="s">
        <v>91</v>
      </c>
      <c r="D55" s="34"/>
      <c r="E55" s="34"/>
      <c r="F55" s="37"/>
      <c r="I55" s="8"/>
    </row>
    <row r="56" spans="2:9" ht="6" customHeight="1">
      <c r="B56" s="7"/>
      <c r="C56" s="1"/>
      <c r="D56" s="1"/>
      <c r="E56" s="1"/>
      <c r="F56" s="1"/>
      <c r="G56" s="1"/>
      <c r="H56" s="1"/>
      <c r="I56" s="8"/>
    </row>
    <row r="57" spans="2:9" ht="15.75" customHeight="1">
      <c r="B57" s="7"/>
      <c r="C57" s="9" t="s">
        <v>132</v>
      </c>
      <c r="D57" s="1"/>
      <c r="E57" s="1"/>
      <c r="F57" s="1"/>
      <c r="G57" s="1"/>
      <c r="H57" s="1"/>
      <c r="I57" s="8"/>
    </row>
    <row r="58" spans="2:9" ht="6" customHeight="1">
      <c r="B58" s="7"/>
      <c r="C58" s="1"/>
      <c r="D58" s="1"/>
      <c r="E58" s="1"/>
      <c r="F58" s="1"/>
      <c r="G58" s="1"/>
      <c r="H58" s="1"/>
      <c r="I58" s="8"/>
    </row>
    <row r="59" spans="2:9" ht="12.75">
      <c r="B59" s="7"/>
      <c r="C59" s="55" t="s">
        <v>24</v>
      </c>
      <c r="D59" s="1"/>
      <c r="E59" s="1"/>
      <c r="F59" s="1"/>
      <c r="G59" s="1"/>
      <c r="H59" s="1"/>
      <c r="I59" s="8"/>
    </row>
    <row r="60" spans="2:9" s="52" customFormat="1" ht="11.25">
      <c r="B60" s="117"/>
      <c r="C60" s="53" t="s">
        <v>33</v>
      </c>
      <c r="D60" s="53"/>
      <c r="E60" s="53"/>
      <c r="F60" s="53"/>
      <c r="G60" s="53"/>
      <c r="H60" s="53"/>
      <c r="I60" s="118"/>
    </row>
    <row r="61" spans="2:9" s="52" customFormat="1" ht="11.25">
      <c r="B61" s="117"/>
      <c r="C61" s="54" t="s">
        <v>152</v>
      </c>
      <c r="D61" s="53"/>
      <c r="E61" s="53"/>
      <c r="F61" s="53"/>
      <c r="G61" s="53"/>
      <c r="H61" s="53"/>
      <c r="I61" s="118"/>
    </row>
    <row r="62" spans="2:9" s="52" customFormat="1" ht="11.25">
      <c r="B62" s="117"/>
      <c r="C62" s="54" t="s">
        <v>92</v>
      </c>
      <c r="D62" s="53"/>
      <c r="E62" s="53"/>
      <c r="F62" s="53"/>
      <c r="G62" s="53"/>
      <c r="H62" s="53"/>
      <c r="I62" s="118"/>
    </row>
    <row r="63" spans="2:9" s="52" customFormat="1" ht="11.25">
      <c r="B63" s="117"/>
      <c r="C63" s="53" t="s">
        <v>154</v>
      </c>
      <c r="D63" s="53"/>
      <c r="E63" s="53"/>
      <c r="F63" s="53"/>
      <c r="G63" s="53"/>
      <c r="H63" s="53"/>
      <c r="I63" s="118"/>
    </row>
    <row r="64" spans="2:9" s="52" customFormat="1" ht="11.25">
      <c r="B64" s="117"/>
      <c r="C64" s="174" t="s">
        <v>133</v>
      </c>
      <c r="D64" s="53"/>
      <c r="E64" s="53"/>
      <c r="F64" s="53"/>
      <c r="G64" s="53"/>
      <c r="H64" s="53"/>
      <c r="I64" s="118"/>
    </row>
    <row r="65" spans="2:9" s="52" customFormat="1" ht="6" customHeight="1">
      <c r="B65" s="117"/>
      <c r="C65" s="174"/>
      <c r="D65" s="53"/>
      <c r="E65" s="53"/>
      <c r="F65" s="53"/>
      <c r="G65" s="53"/>
      <c r="H65" s="53"/>
      <c r="I65" s="118"/>
    </row>
    <row r="66" spans="2:9" s="52" customFormat="1" ht="11.25">
      <c r="B66" s="117"/>
      <c r="I66" s="118"/>
    </row>
    <row r="67" spans="2:9" ht="6" customHeight="1">
      <c r="B67" s="11"/>
      <c r="C67" s="3"/>
      <c r="D67" s="3"/>
      <c r="E67" s="3"/>
      <c r="F67" s="3"/>
      <c r="G67" s="3"/>
      <c r="H67" s="3"/>
      <c r="I67" s="12"/>
    </row>
    <row r="71" ht="12.75">
      <c r="C71" s="53"/>
    </row>
  </sheetData>
  <sheetProtection password="CCA7" sheet="1" objects="1" scenarios="1" selectLockedCells="1" selectUnlockedCells="1"/>
  <mergeCells count="10">
    <mergeCell ref="C31:H31"/>
    <mergeCell ref="C35:H35"/>
    <mergeCell ref="C12:H12"/>
    <mergeCell ref="C3:H3"/>
    <mergeCell ref="C4:H4"/>
    <mergeCell ref="C11:H11"/>
    <mergeCell ref="D15:G15"/>
    <mergeCell ref="D14:G14"/>
    <mergeCell ref="C6:H6"/>
    <mergeCell ref="C26:H26"/>
  </mergeCells>
  <printOptions horizontalCentered="1"/>
  <pageMargins left="0.25" right="0.25" top="0.5" bottom="0.5" header="0.25" footer="0.25"/>
  <pageSetup horizontalDpi="1200" verticalDpi="1200" orientation="portrait" scale="94"/>
  <headerFooter alignWithMargins="0">
    <oddHeader>&amp;CResidential Space Heating Costs for Various Fuels</oddHeader>
    <oddFooter>&amp;L&amp;8File: &amp;Z&amp;F Tab: &amp;A&amp;R&amp;8&amp;D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I53"/>
  <sheetViews>
    <sheetView showGridLines="0" zoomScalePageLayoutView="0" workbookViewId="0" topLeftCell="A28">
      <selection activeCell="C15" sqref="C15"/>
    </sheetView>
  </sheetViews>
  <sheetFormatPr defaultColWidth="9.140625" defaultRowHeight="12.75"/>
  <cols>
    <col min="3" max="3" width="14.28125" style="0" customWidth="1"/>
    <col min="5" max="6" width="12.421875" style="0" customWidth="1"/>
  </cols>
  <sheetData>
    <row r="1" spans="1:9" ht="12.75">
      <c r="A1" s="4"/>
      <c r="B1" s="5"/>
      <c r="C1" s="5"/>
      <c r="D1" s="5"/>
      <c r="E1" s="5"/>
      <c r="F1" s="5"/>
      <c r="G1" s="5"/>
      <c r="H1" s="5"/>
      <c r="I1" s="6"/>
    </row>
    <row r="2" spans="1:9" ht="12.75">
      <c r="A2" s="7"/>
      <c r="B2" s="1"/>
      <c r="C2" s="1"/>
      <c r="D2" s="1"/>
      <c r="E2" s="1"/>
      <c r="F2" s="1"/>
      <c r="G2" s="1"/>
      <c r="H2" s="1"/>
      <c r="I2" s="8"/>
    </row>
    <row r="3" spans="1:9" ht="12.75">
      <c r="A3" s="7"/>
      <c r="B3" s="278" t="s">
        <v>65</v>
      </c>
      <c r="C3" s="278"/>
      <c r="D3" s="1"/>
      <c r="E3" s="1"/>
      <c r="F3" s="1"/>
      <c r="G3" s="1"/>
      <c r="H3" s="1"/>
      <c r="I3" s="8"/>
    </row>
    <row r="4" spans="1:9" ht="12.75">
      <c r="A4" s="7"/>
      <c r="B4" s="279" t="s">
        <v>74</v>
      </c>
      <c r="C4" s="279"/>
      <c r="D4" s="1"/>
      <c r="E4" s="1"/>
      <c r="F4" s="1"/>
      <c r="G4" s="1"/>
      <c r="H4" s="1"/>
      <c r="I4" s="8"/>
    </row>
    <row r="5" spans="1:9" ht="12.75">
      <c r="A5" s="7"/>
      <c r="B5" s="1"/>
      <c r="C5" s="1"/>
      <c r="D5" s="1"/>
      <c r="E5" s="1"/>
      <c r="F5" s="1"/>
      <c r="G5" s="7"/>
      <c r="H5" s="1"/>
      <c r="I5" s="8"/>
    </row>
    <row r="6" spans="1:9" ht="13.5" thickBot="1">
      <c r="A6" s="7"/>
      <c r="B6" s="1"/>
      <c r="C6" s="1"/>
      <c r="D6" s="96"/>
      <c r="E6" s="96"/>
      <c r="F6" s="1"/>
      <c r="G6" s="7"/>
      <c r="H6" s="1"/>
      <c r="I6" s="8"/>
    </row>
    <row r="7" spans="1:9" ht="13.5" thickTop="1">
      <c r="A7" s="7"/>
      <c r="B7" s="1"/>
      <c r="C7" s="1"/>
      <c r="D7" s="95"/>
      <c r="E7" s="94"/>
      <c r="F7" s="1" t="s">
        <v>34</v>
      </c>
      <c r="G7" s="7"/>
      <c r="H7" s="1"/>
      <c r="I7" s="8"/>
    </row>
    <row r="8" spans="1:9" ht="12.75">
      <c r="A8" s="7"/>
      <c r="B8" s="1"/>
      <c r="C8" s="1"/>
      <c r="D8" s="93" t="s">
        <v>35</v>
      </c>
      <c r="E8" s="94"/>
      <c r="F8" s="1"/>
      <c r="G8" s="7"/>
      <c r="H8" s="1"/>
      <c r="I8" s="8"/>
    </row>
    <row r="9" spans="1:9" ht="12.75">
      <c r="A9" s="7"/>
      <c r="B9" s="1"/>
      <c r="C9" s="1"/>
      <c r="D9" s="95"/>
      <c r="E9" s="94"/>
      <c r="F9" s="99" t="s">
        <v>73</v>
      </c>
      <c r="G9" s="1"/>
      <c r="H9" s="1"/>
      <c r="I9" s="8"/>
    </row>
    <row r="10" spans="1:9" ht="12.75">
      <c r="A10" s="7"/>
      <c r="B10" s="1"/>
      <c r="C10" s="1"/>
      <c r="D10" s="95"/>
      <c r="E10" s="94" t="s">
        <v>72</v>
      </c>
      <c r="F10" s="1"/>
      <c r="G10" s="1"/>
      <c r="H10" s="1"/>
      <c r="I10" s="8"/>
    </row>
    <row r="11" spans="1:9" ht="13.5" thickBot="1">
      <c r="A11" s="7"/>
      <c r="B11" s="1"/>
      <c r="C11" s="1"/>
      <c r="D11" s="97"/>
      <c r="E11" s="98"/>
      <c r="F11" s="1"/>
      <c r="G11" s="1"/>
      <c r="H11" s="1"/>
      <c r="I11" s="8"/>
    </row>
    <row r="12" spans="1:9" ht="13.5" thickTop="1">
      <c r="A12" s="7"/>
      <c r="B12" s="1"/>
      <c r="C12" s="1"/>
      <c r="D12" s="1"/>
      <c r="E12" s="1"/>
      <c r="F12" s="1"/>
      <c r="G12" s="1"/>
      <c r="H12" s="1"/>
      <c r="I12" s="8"/>
    </row>
    <row r="13" spans="1:9" ht="12.75">
      <c r="A13" s="7"/>
      <c r="B13" s="1"/>
      <c r="C13" s="1"/>
      <c r="D13" s="1"/>
      <c r="E13" s="1"/>
      <c r="F13" s="100" t="s">
        <v>68</v>
      </c>
      <c r="G13" s="1"/>
      <c r="H13" s="1"/>
      <c r="I13" s="8"/>
    </row>
    <row r="14" spans="1:9" ht="12.75">
      <c r="A14" s="7"/>
      <c r="B14" s="1"/>
      <c r="C14" s="1"/>
      <c r="D14" s="1"/>
      <c r="E14" s="1"/>
      <c r="F14" s="1" t="s">
        <v>60</v>
      </c>
      <c r="G14" s="102">
        <f>(28*36)*(8*2)</f>
        <v>16128</v>
      </c>
      <c r="H14" s="1" t="s">
        <v>61</v>
      </c>
      <c r="I14" s="8"/>
    </row>
    <row r="15" spans="1:9" ht="12.75">
      <c r="A15" s="7"/>
      <c r="B15" s="1"/>
      <c r="C15" s="1"/>
      <c r="D15" s="1"/>
      <c r="E15" s="1"/>
      <c r="F15" s="1"/>
      <c r="G15" s="1" t="s">
        <v>155</v>
      </c>
      <c r="H15" s="1"/>
      <c r="I15" s="8"/>
    </row>
    <row r="16" spans="1:9" ht="12.75">
      <c r="A16" s="7"/>
      <c r="B16" s="1"/>
      <c r="C16" s="1"/>
      <c r="D16" s="1"/>
      <c r="E16" s="1"/>
      <c r="F16" s="1"/>
      <c r="G16" s="1"/>
      <c r="H16" s="1"/>
      <c r="I16" s="8"/>
    </row>
    <row r="17" spans="1:9" ht="12.75">
      <c r="A17" s="7"/>
      <c r="B17" s="103" t="s">
        <v>45</v>
      </c>
      <c r="C17" s="1" t="s">
        <v>36</v>
      </c>
      <c r="D17" s="1"/>
      <c r="E17" s="1"/>
      <c r="F17" s="80">
        <f>2*(28*17)+2*(36*17)</f>
        <v>2176</v>
      </c>
      <c r="G17" s="1"/>
      <c r="H17" s="1"/>
      <c r="I17" s="8"/>
    </row>
    <row r="18" spans="1:9" ht="38.25">
      <c r="A18" s="7"/>
      <c r="B18" s="1"/>
      <c r="C18" s="1"/>
      <c r="D18" s="90" t="s">
        <v>41</v>
      </c>
      <c r="E18" s="104" t="s">
        <v>66</v>
      </c>
      <c r="F18" s="104" t="s">
        <v>43</v>
      </c>
      <c r="G18" s="1"/>
      <c r="H18" s="1"/>
      <c r="I18" s="8"/>
    </row>
    <row r="19" spans="1:9" ht="12.75">
      <c r="A19" s="7"/>
      <c r="B19" s="1"/>
      <c r="C19" s="1" t="s">
        <v>38</v>
      </c>
      <c r="D19" s="105">
        <v>0.18</v>
      </c>
      <c r="E19" s="1">
        <v>2</v>
      </c>
      <c r="F19" s="1">
        <f>D19*E19</f>
        <v>0.36</v>
      </c>
      <c r="G19" s="1"/>
      <c r="H19" s="1"/>
      <c r="I19" s="8"/>
    </row>
    <row r="20" spans="1:9" ht="12.75">
      <c r="A20" s="7"/>
      <c r="B20" s="1"/>
      <c r="C20" s="1" t="s">
        <v>39</v>
      </c>
      <c r="D20" s="105">
        <v>0.13</v>
      </c>
      <c r="E20" s="1">
        <v>5</v>
      </c>
      <c r="F20" s="1">
        <f>D20*E20</f>
        <v>0.65</v>
      </c>
      <c r="G20" s="1"/>
      <c r="H20" s="1"/>
      <c r="I20" s="8"/>
    </row>
    <row r="21" spans="1:9" ht="12.75">
      <c r="A21" s="7"/>
      <c r="B21" s="1"/>
      <c r="C21" s="3" t="s">
        <v>40</v>
      </c>
      <c r="D21" s="82">
        <f>1-(D19+D20)</f>
        <v>0.69</v>
      </c>
      <c r="E21" s="3">
        <v>13</v>
      </c>
      <c r="F21" s="3">
        <f>D21*E21</f>
        <v>8.969999999999999</v>
      </c>
      <c r="G21" s="100" t="s">
        <v>159</v>
      </c>
      <c r="H21" s="1"/>
      <c r="I21" s="8"/>
    </row>
    <row r="22" spans="1:9" ht="12.75">
      <c r="A22" s="7"/>
      <c r="B22" s="1"/>
      <c r="C22" s="1" t="s">
        <v>51</v>
      </c>
      <c r="D22" s="1"/>
      <c r="E22" s="1"/>
      <c r="F22" s="85">
        <f>SUM(F19:F21)</f>
        <v>9.979999999999999</v>
      </c>
      <c r="G22" s="1"/>
      <c r="H22" s="1"/>
      <c r="I22" s="8"/>
    </row>
    <row r="23" spans="1:9" ht="12.75">
      <c r="A23" s="7"/>
      <c r="B23" s="1"/>
      <c r="C23" s="1" t="s">
        <v>44</v>
      </c>
      <c r="D23" s="1"/>
      <c r="E23" s="1"/>
      <c r="F23" s="86">
        <f>1/F22</f>
        <v>0.10020040080160322</v>
      </c>
      <c r="G23" s="1"/>
      <c r="H23" s="1"/>
      <c r="I23" s="8"/>
    </row>
    <row r="24" spans="1:9" ht="12.75">
      <c r="A24" s="7"/>
      <c r="B24" s="1"/>
      <c r="C24" s="1"/>
      <c r="D24" s="1"/>
      <c r="E24" s="1"/>
      <c r="F24" s="1"/>
      <c r="G24" s="1"/>
      <c r="H24" s="1"/>
      <c r="I24" s="8"/>
    </row>
    <row r="25" spans="1:9" ht="12.75">
      <c r="A25" s="7"/>
      <c r="B25" s="103" t="s">
        <v>46</v>
      </c>
      <c r="C25" s="1" t="s">
        <v>47</v>
      </c>
      <c r="D25" s="1"/>
      <c r="E25" s="1"/>
      <c r="F25" s="80">
        <f>2*(28*36)</f>
        <v>2016</v>
      </c>
      <c r="G25" s="1"/>
      <c r="H25" s="1"/>
      <c r="I25" s="8"/>
    </row>
    <row r="26" spans="1:9" ht="25.5">
      <c r="A26" s="7"/>
      <c r="B26" s="1"/>
      <c r="C26" s="1"/>
      <c r="D26" s="90" t="s">
        <v>41</v>
      </c>
      <c r="E26" s="76" t="s">
        <v>42</v>
      </c>
      <c r="F26" s="104" t="s">
        <v>43</v>
      </c>
      <c r="G26" s="1"/>
      <c r="H26" s="1"/>
      <c r="I26" s="8"/>
    </row>
    <row r="27" spans="1:9" ht="12.75">
      <c r="A27" s="7"/>
      <c r="B27" s="1"/>
      <c r="C27" s="1" t="s">
        <v>39</v>
      </c>
      <c r="D27" s="105">
        <v>0.13</v>
      </c>
      <c r="E27" s="1">
        <v>6</v>
      </c>
      <c r="F27" s="1">
        <f>D27*E27</f>
        <v>0.78</v>
      </c>
      <c r="G27" s="1"/>
      <c r="H27" s="1"/>
      <c r="I27" s="8"/>
    </row>
    <row r="28" spans="1:9" ht="12.75">
      <c r="A28" s="7"/>
      <c r="B28" s="1"/>
      <c r="C28" s="3" t="s">
        <v>48</v>
      </c>
      <c r="D28" s="82">
        <f>1-(D27)</f>
        <v>0.87</v>
      </c>
      <c r="E28" s="3">
        <v>19</v>
      </c>
      <c r="F28" s="3">
        <f>D28*E28</f>
        <v>16.53</v>
      </c>
      <c r="G28" s="1"/>
      <c r="H28" s="1"/>
      <c r="I28" s="8"/>
    </row>
    <row r="29" spans="1:9" ht="12.75">
      <c r="A29" s="7"/>
      <c r="B29" s="1"/>
      <c r="C29" s="1" t="s">
        <v>51</v>
      </c>
      <c r="D29" s="1"/>
      <c r="E29" s="1"/>
      <c r="F29" s="1">
        <f>SUM(F27:F28)</f>
        <v>17.310000000000002</v>
      </c>
      <c r="G29" s="1"/>
      <c r="H29" s="1"/>
      <c r="I29" s="8"/>
    </row>
    <row r="30" spans="1:9" ht="12.75">
      <c r="A30" s="7"/>
      <c r="B30" s="1"/>
      <c r="C30" s="1" t="s">
        <v>44</v>
      </c>
      <c r="D30" s="1"/>
      <c r="E30" s="1"/>
      <c r="F30" s="86">
        <f>1/F29</f>
        <v>0.05777007510109762</v>
      </c>
      <c r="G30" s="1"/>
      <c r="H30" s="1"/>
      <c r="I30" s="8"/>
    </row>
    <row r="31" spans="1:9" ht="12.75">
      <c r="A31" s="7"/>
      <c r="B31" s="1"/>
      <c r="C31" s="1"/>
      <c r="D31" s="1"/>
      <c r="E31" s="1"/>
      <c r="F31" s="1"/>
      <c r="G31" s="1"/>
      <c r="H31" s="1"/>
      <c r="I31" s="8"/>
    </row>
    <row r="32" spans="1:9" ht="12.75">
      <c r="A32" s="7"/>
      <c r="B32" s="103" t="s">
        <v>49</v>
      </c>
      <c r="C32" s="1" t="s">
        <v>50</v>
      </c>
      <c r="D32" s="1"/>
      <c r="E32" s="1"/>
      <c r="F32" s="1"/>
      <c r="G32" s="1"/>
      <c r="H32" s="1"/>
      <c r="I32" s="8"/>
    </row>
    <row r="33" spans="1:9" ht="25.5">
      <c r="A33" s="7"/>
      <c r="B33" s="1"/>
      <c r="C33" s="1"/>
      <c r="D33" s="1"/>
      <c r="E33" s="104" t="s">
        <v>51</v>
      </c>
      <c r="F33" s="76" t="s">
        <v>52</v>
      </c>
      <c r="G33" s="1"/>
      <c r="H33" s="1"/>
      <c r="I33" s="8"/>
    </row>
    <row r="34" spans="1:9" ht="12.75">
      <c r="A34" s="7"/>
      <c r="B34" s="1"/>
      <c r="C34" s="103" t="s">
        <v>45</v>
      </c>
      <c r="D34" s="1"/>
      <c r="E34" s="106">
        <f>F22</f>
        <v>9.979999999999999</v>
      </c>
      <c r="F34" s="80">
        <f>F17</f>
        <v>2176</v>
      </c>
      <c r="G34" s="1"/>
      <c r="H34" s="1"/>
      <c r="I34" s="8"/>
    </row>
    <row r="35" spans="1:9" ht="12.75">
      <c r="A35" s="7"/>
      <c r="B35" s="1"/>
      <c r="C35" s="103" t="s">
        <v>46</v>
      </c>
      <c r="D35" s="1"/>
      <c r="E35" s="83">
        <f>F29</f>
        <v>17.310000000000002</v>
      </c>
      <c r="F35" s="84">
        <f>F25</f>
        <v>2016</v>
      </c>
      <c r="G35" s="1"/>
      <c r="H35" s="1"/>
      <c r="I35" s="8"/>
    </row>
    <row r="36" spans="1:9" ht="12.75">
      <c r="A36" s="7"/>
      <c r="B36" s="1"/>
      <c r="C36" s="1" t="s">
        <v>51</v>
      </c>
      <c r="D36" s="1"/>
      <c r="E36" s="198">
        <f>((E34*F34)+(E35*F35))/F36</f>
        <v>13.505114503816795</v>
      </c>
      <c r="F36" s="107">
        <f>SUM(F34:F35)</f>
        <v>4192</v>
      </c>
      <c r="G36" s="1"/>
      <c r="H36" s="1"/>
      <c r="I36" s="8"/>
    </row>
    <row r="37" spans="1:9" ht="12.75">
      <c r="A37" s="11"/>
      <c r="B37" s="3"/>
      <c r="C37" s="3" t="s">
        <v>44</v>
      </c>
      <c r="D37" s="3"/>
      <c r="E37" s="108">
        <f>1/E36</f>
        <v>0.07404602158074125</v>
      </c>
      <c r="F37" s="3"/>
      <c r="G37" s="3"/>
      <c r="H37" s="3"/>
      <c r="I37" s="12"/>
    </row>
    <row r="38" spans="1:9" ht="12.75">
      <c r="A38" s="4"/>
      <c r="B38" s="5"/>
      <c r="C38" s="5"/>
      <c r="D38" s="5"/>
      <c r="E38" s="5"/>
      <c r="F38" s="5"/>
      <c r="G38" s="5"/>
      <c r="H38" s="5"/>
      <c r="I38" s="6"/>
    </row>
    <row r="39" spans="1:9" ht="12.75">
      <c r="A39" s="7"/>
      <c r="B39" s="85" t="s">
        <v>53</v>
      </c>
      <c r="C39" s="1"/>
      <c r="D39" s="1"/>
      <c r="E39" s="1"/>
      <c r="F39" s="1"/>
      <c r="G39" s="1"/>
      <c r="H39" s="1"/>
      <c r="I39" s="8"/>
    </row>
    <row r="40" spans="1:9" ht="5.25" customHeight="1">
      <c r="A40" s="7"/>
      <c r="B40" s="1"/>
      <c r="C40" s="1"/>
      <c r="D40" s="1"/>
      <c r="E40" s="1"/>
      <c r="F40" s="1"/>
      <c r="G40" s="1"/>
      <c r="H40" s="1"/>
      <c r="I40" s="8"/>
    </row>
    <row r="41" spans="1:9" ht="12.75">
      <c r="A41" s="7"/>
      <c r="B41" s="1"/>
      <c r="C41" s="199" t="s">
        <v>54</v>
      </c>
      <c r="D41" s="199" t="s">
        <v>37</v>
      </c>
      <c r="E41" s="199" t="s">
        <v>55</v>
      </c>
      <c r="F41" s="200" t="s">
        <v>63</v>
      </c>
      <c r="G41" s="1"/>
      <c r="H41" s="1"/>
      <c r="I41" s="8"/>
    </row>
    <row r="42" spans="1:9" ht="12.75">
      <c r="A42" s="7"/>
      <c r="B42" s="1"/>
      <c r="C42" s="182">
        <f>E37</f>
        <v>0.07404602158074125</v>
      </c>
      <c r="D42" s="183">
        <f>F36</f>
        <v>4192</v>
      </c>
      <c r="E42" s="76">
        <v>85</v>
      </c>
      <c r="F42" s="184">
        <f>C42*D42*E42</f>
        <v>26384.078409649723</v>
      </c>
      <c r="G42" s="99" t="s">
        <v>56</v>
      </c>
      <c r="H42" s="1"/>
      <c r="I42" s="8"/>
    </row>
    <row r="43" spans="1:9" ht="12.75">
      <c r="A43" s="7"/>
      <c r="B43" s="1"/>
      <c r="C43" s="1"/>
      <c r="D43" s="1"/>
      <c r="E43" s="1"/>
      <c r="F43" s="1"/>
      <c r="G43" s="1"/>
      <c r="H43" s="1"/>
      <c r="I43" s="8"/>
    </row>
    <row r="44" spans="1:9" ht="12.75">
      <c r="A44" s="7"/>
      <c r="B44" s="85" t="s">
        <v>57</v>
      </c>
      <c r="C44" s="80"/>
      <c r="D44" s="1"/>
      <c r="E44" s="1"/>
      <c r="F44" s="1"/>
      <c r="G44" s="1"/>
      <c r="H44" s="1"/>
      <c r="I44" s="8"/>
    </row>
    <row r="45" spans="1:9" ht="4.5" customHeight="1">
      <c r="A45" s="7"/>
      <c r="B45" s="1"/>
      <c r="C45" s="1"/>
      <c r="D45" s="1"/>
      <c r="E45" s="1"/>
      <c r="F45" s="1"/>
      <c r="G45" s="1"/>
      <c r="H45" s="1"/>
      <c r="I45" s="8"/>
    </row>
    <row r="46" spans="1:9" ht="25.5">
      <c r="A46" s="7"/>
      <c r="B46" s="1"/>
      <c r="C46" s="201" t="s">
        <v>58</v>
      </c>
      <c r="D46" s="201" t="s">
        <v>59</v>
      </c>
      <c r="E46" s="199" t="s">
        <v>55</v>
      </c>
      <c r="F46" s="200" t="s">
        <v>62</v>
      </c>
      <c r="G46" s="1"/>
      <c r="H46" s="1"/>
      <c r="I46" s="8"/>
    </row>
    <row r="47" spans="1:9" ht="12.75">
      <c r="A47" s="7"/>
      <c r="B47" s="1"/>
      <c r="C47" s="76">
        <v>0.018</v>
      </c>
      <c r="D47" s="183">
        <f>0.5*G14</f>
        <v>8064</v>
      </c>
      <c r="E47" s="76">
        <v>85</v>
      </c>
      <c r="F47" s="80">
        <f>C47*D47*E47</f>
        <v>12337.919999999998</v>
      </c>
      <c r="G47" s="1" t="s">
        <v>56</v>
      </c>
      <c r="H47" s="1"/>
      <c r="I47" s="8"/>
    </row>
    <row r="48" spans="1:9" ht="12.75">
      <c r="A48" s="7"/>
      <c r="B48" s="1"/>
      <c r="C48" s="1"/>
      <c r="D48" s="1"/>
      <c r="E48" s="1"/>
      <c r="F48" s="1"/>
      <c r="G48" s="1"/>
      <c r="H48" s="1"/>
      <c r="I48" s="8"/>
    </row>
    <row r="49" spans="1:9" ht="12.75">
      <c r="A49" s="7"/>
      <c r="B49" s="87" t="s">
        <v>67</v>
      </c>
      <c r="C49" s="88"/>
      <c r="D49" s="88"/>
      <c r="E49" s="88"/>
      <c r="F49" s="88"/>
      <c r="G49" s="88"/>
      <c r="H49" s="1"/>
      <c r="I49" s="8"/>
    </row>
    <row r="50" spans="1:9" ht="4.5" customHeight="1">
      <c r="A50" s="7"/>
      <c r="B50" s="1"/>
      <c r="C50" s="1"/>
      <c r="D50" s="1"/>
      <c r="E50" s="1"/>
      <c r="F50" s="1"/>
      <c r="G50" s="1"/>
      <c r="H50" s="1"/>
      <c r="I50" s="8"/>
    </row>
    <row r="51" spans="1:9" ht="15.75">
      <c r="A51" s="7"/>
      <c r="B51" s="1"/>
      <c r="C51" s="89" t="s">
        <v>69</v>
      </c>
      <c r="D51" s="90" t="s">
        <v>64</v>
      </c>
      <c r="E51" s="89" t="s">
        <v>70</v>
      </c>
      <c r="F51" s="91" t="s">
        <v>71</v>
      </c>
      <c r="G51" s="88"/>
      <c r="H51" s="1"/>
      <c r="I51" s="8"/>
    </row>
    <row r="52" spans="1:9" ht="12.75">
      <c r="A52" s="7"/>
      <c r="B52" s="1"/>
      <c r="C52" s="183">
        <f>F42</f>
        <v>26384.078409649723</v>
      </c>
      <c r="D52" s="1"/>
      <c r="E52" s="183">
        <f>F47</f>
        <v>12337.919999999998</v>
      </c>
      <c r="F52" s="92">
        <f>C52+E52</f>
        <v>38721.99840964972</v>
      </c>
      <c r="G52" s="87" t="s">
        <v>56</v>
      </c>
      <c r="H52" s="1"/>
      <c r="I52" s="8"/>
    </row>
    <row r="53" spans="1:9" ht="12.75">
      <c r="A53" s="11"/>
      <c r="B53" s="3"/>
      <c r="C53" s="3"/>
      <c r="D53" s="3"/>
      <c r="E53" s="3"/>
      <c r="F53" s="3"/>
      <c r="G53" s="3"/>
      <c r="H53" s="3"/>
      <c r="I53" s="12"/>
    </row>
  </sheetData>
  <sheetProtection password="CCA7" sheet="1" objects="1" scenarios="1" selectLockedCells="1" selectUnlockedCells="1"/>
  <mergeCells count="2">
    <mergeCell ref="B3:C3"/>
    <mergeCell ref="B4:C4"/>
  </mergeCells>
  <printOptions horizontalCentered="1" verticalCentered="1"/>
  <pageMargins left="0.25" right="0.25" top="0.5" bottom="0.5" header="0.25" footer="0.25"/>
  <pageSetup horizontalDpi="1200" verticalDpi="1200" orientation="portrait"/>
  <headerFooter alignWithMargins="0">
    <oddFooter>&amp;L&amp;8File: &amp;Z&amp;F Tab: &amp;A&amp;R&amp;8&amp;D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L36"/>
  <sheetViews>
    <sheetView showGridLines="0" zoomScalePageLayoutView="0" workbookViewId="0" topLeftCell="A1">
      <selection activeCell="J26" sqref="J26"/>
    </sheetView>
  </sheetViews>
  <sheetFormatPr defaultColWidth="9.140625" defaultRowHeight="12.75"/>
  <cols>
    <col min="1" max="1" width="1.28515625" style="0" customWidth="1"/>
    <col min="2" max="2" width="27.57421875" style="0" customWidth="1"/>
    <col min="3" max="3" width="7.28125" style="0" customWidth="1"/>
    <col min="4" max="4" width="10.7109375" style="0" customWidth="1"/>
    <col min="5" max="5" width="2.140625" style="0" customWidth="1"/>
    <col min="6" max="6" width="13.00390625" style="0" customWidth="1"/>
    <col min="7" max="7" width="2.140625" style="0" customWidth="1"/>
    <col min="8" max="8" width="10.7109375" style="0" customWidth="1"/>
    <col min="9" max="9" width="2.140625" style="0" customWidth="1"/>
    <col min="10" max="10" width="15.28125" style="0" customWidth="1"/>
    <col min="11" max="11" width="7.00390625" style="0" customWidth="1"/>
    <col min="12" max="12" width="10.140625" style="0" customWidth="1"/>
    <col min="13" max="13" width="8.140625" style="0" customWidth="1"/>
    <col min="14" max="14" width="2.28125" style="0" customWidth="1"/>
  </cols>
  <sheetData>
    <row r="1" spans="2:14" ht="20.25">
      <c r="B1" s="280" t="s">
        <v>107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2:14" ht="20.25">
      <c r="B2" s="280" t="s">
        <v>108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2:14" ht="9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20.25">
      <c r="A4" s="4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9"/>
    </row>
    <row r="5" spans="1:14" ht="18">
      <c r="A5" s="7"/>
      <c r="B5" s="13"/>
      <c r="C5" s="110" t="s">
        <v>82</v>
      </c>
      <c r="D5" s="277" t="s">
        <v>83</v>
      </c>
      <c r="E5" s="277"/>
      <c r="F5" s="277"/>
      <c r="G5" s="277"/>
      <c r="H5" s="277"/>
      <c r="I5" s="169" t="s">
        <v>64</v>
      </c>
      <c r="J5" s="17" t="s">
        <v>125</v>
      </c>
      <c r="K5" s="13"/>
      <c r="L5" s="40"/>
      <c r="M5" s="1"/>
      <c r="N5" s="8"/>
    </row>
    <row r="6" spans="1:14" ht="15.75">
      <c r="A6" s="7"/>
      <c r="B6" s="72"/>
      <c r="C6" s="1"/>
      <c r="D6" s="276" t="s">
        <v>81</v>
      </c>
      <c r="E6" s="276"/>
      <c r="F6" s="276"/>
      <c r="G6" s="276"/>
      <c r="H6" s="276"/>
      <c r="I6" s="73"/>
      <c r="J6" s="74"/>
      <c r="K6" s="170" t="s">
        <v>124</v>
      </c>
      <c r="M6" s="1"/>
      <c r="N6" s="8"/>
    </row>
    <row r="7" spans="1:14" ht="15.75">
      <c r="A7" s="7"/>
      <c r="B7" s="72"/>
      <c r="C7" s="1"/>
      <c r="D7" s="120"/>
      <c r="E7" s="120"/>
      <c r="F7" s="120"/>
      <c r="G7" s="120"/>
      <c r="H7" s="120"/>
      <c r="I7" s="73"/>
      <c r="J7" s="74"/>
      <c r="K7" s="171" t="s">
        <v>126</v>
      </c>
      <c r="M7" s="1"/>
      <c r="N7" s="8"/>
    </row>
    <row r="8" spans="1:14" ht="15.75">
      <c r="A8" s="7"/>
      <c r="B8" s="152" t="s">
        <v>4</v>
      </c>
      <c r="C8" s="143" t="s">
        <v>102</v>
      </c>
      <c r="D8" s="155">
        <f>'2) Heating Load Calc.s'!F52</f>
        <v>38721.99840964972</v>
      </c>
      <c r="E8" s="146" t="s">
        <v>114</v>
      </c>
      <c r="H8" s="1"/>
      <c r="I8" s="73"/>
      <c r="J8" s="145" t="s">
        <v>111</v>
      </c>
      <c r="K8" s="157" t="s">
        <v>106</v>
      </c>
      <c r="L8" s="158"/>
      <c r="M8" s="158"/>
      <c r="N8" s="160"/>
    </row>
    <row r="9" spans="1:14" ht="15.75">
      <c r="A9" s="7"/>
      <c r="B9" s="72"/>
      <c r="C9" s="143" t="s">
        <v>103</v>
      </c>
      <c r="D9" s="155">
        <f>'1) Formulas and Assumptions'!H37</f>
        <v>7478</v>
      </c>
      <c r="E9" s="146" t="s">
        <v>115</v>
      </c>
      <c r="H9" s="1"/>
      <c r="I9" s="73"/>
      <c r="J9" s="145" t="s">
        <v>112</v>
      </c>
      <c r="K9" s="157" t="s">
        <v>106</v>
      </c>
      <c r="L9" s="158"/>
      <c r="M9" s="158"/>
      <c r="N9" s="160"/>
    </row>
    <row r="10" spans="1:14" ht="15.75">
      <c r="A10" s="7"/>
      <c r="B10" s="72"/>
      <c r="C10" s="143" t="s">
        <v>104</v>
      </c>
      <c r="D10" s="156">
        <f>(70--15)</f>
        <v>85</v>
      </c>
      <c r="E10" s="146" t="s">
        <v>116</v>
      </c>
      <c r="H10" s="1"/>
      <c r="I10" s="73"/>
      <c r="J10" s="143" t="s">
        <v>105</v>
      </c>
      <c r="K10" s="159" t="s">
        <v>113</v>
      </c>
      <c r="L10" s="158"/>
      <c r="M10" s="158"/>
      <c r="N10" s="160"/>
    </row>
    <row r="11" spans="1:14" ht="6" customHeight="1">
      <c r="A11" s="7"/>
      <c r="B11" s="72"/>
      <c r="C11" s="1"/>
      <c r="D11" s="120"/>
      <c r="E11" s="120"/>
      <c r="F11" s="120"/>
      <c r="G11" s="120"/>
      <c r="H11" s="120"/>
      <c r="I11" s="73"/>
      <c r="J11" s="74"/>
      <c r="K11" s="73"/>
      <c r="L11" s="150"/>
      <c r="M11" s="1"/>
      <c r="N11" s="8"/>
    </row>
    <row r="12" spans="1:14" ht="15.75">
      <c r="A12" s="7"/>
      <c r="B12" s="142" t="s">
        <v>99</v>
      </c>
      <c r="C12" s="13"/>
      <c r="D12" s="13"/>
      <c r="E12" s="13"/>
      <c r="F12" s="13"/>
      <c r="G12" s="13"/>
      <c r="H12" s="13"/>
      <c r="I12" s="13"/>
      <c r="J12" s="13"/>
      <c r="K12" s="13"/>
      <c r="L12" s="40"/>
      <c r="M12" s="1"/>
      <c r="N12" s="8"/>
    </row>
    <row r="13" spans="1:14" ht="18">
      <c r="A13" s="7"/>
      <c r="B13" s="110" t="s">
        <v>144</v>
      </c>
      <c r="C13" s="141" t="s">
        <v>98</v>
      </c>
      <c r="D13" s="137">
        <f>'2) Heating Load Calc.s'!F52</f>
        <v>38721.99840964972</v>
      </c>
      <c r="E13" s="139">
        <f>'2) Heating Load Calc.s'!F52</f>
        <v>38721.99840964972</v>
      </c>
      <c r="F13" s="153" t="s">
        <v>56</v>
      </c>
      <c r="G13" s="136" t="s">
        <v>97</v>
      </c>
      <c r="H13" s="133">
        <v>24</v>
      </c>
      <c r="I13" s="136" t="s">
        <v>97</v>
      </c>
      <c r="J13" s="132">
        <f>'1) Formulas and Assumptions'!H37</f>
        <v>7478</v>
      </c>
      <c r="K13" s="140" t="s">
        <v>100</v>
      </c>
      <c r="L13" s="128">
        <f>('2) Heating Load Calc.s'!F52*24*'1) Formulas and Assumptions'!H37)/(('1) Formulas and Assumptions'!F46*'1) Formulas and Assumptions'!G46)*('1) Formulas and Assumptions'!E46)*(70--15))</f>
        <v>816.9363918955016</v>
      </c>
      <c r="M13" s="85" t="s">
        <v>93</v>
      </c>
      <c r="N13" s="8"/>
    </row>
    <row r="14" spans="1:14" ht="15.75">
      <c r="A14" s="7"/>
      <c r="B14" s="16"/>
      <c r="C14" s="13"/>
      <c r="D14" s="134" t="s">
        <v>142</v>
      </c>
      <c r="E14" s="135" t="s">
        <v>97</v>
      </c>
      <c r="F14" s="134" t="s">
        <v>143</v>
      </c>
      <c r="G14" s="34" t="s">
        <v>97</v>
      </c>
      <c r="H14" s="15">
        <v>139000</v>
      </c>
      <c r="I14" s="34" t="s">
        <v>97</v>
      </c>
      <c r="J14" s="15" t="s">
        <v>122</v>
      </c>
      <c r="K14" s="17"/>
      <c r="L14" s="40"/>
      <c r="M14" s="1"/>
      <c r="N14" s="8"/>
    </row>
    <row r="15" spans="1:14" ht="15.75">
      <c r="A15" s="7"/>
      <c r="B15" s="16"/>
      <c r="C15" s="13"/>
      <c r="D15" s="134"/>
      <c r="E15" s="135"/>
      <c r="F15" s="134"/>
      <c r="G15" s="34"/>
      <c r="H15" s="15"/>
      <c r="I15" s="34"/>
      <c r="J15" s="15"/>
      <c r="K15" s="17"/>
      <c r="L15" s="40"/>
      <c r="M15" s="1"/>
      <c r="N15" s="8"/>
    </row>
    <row r="16" spans="1:14" ht="18">
      <c r="A16" s="7"/>
      <c r="B16" s="173" t="s">
        <v>127</v>
      </c>
      <c r="C16" s="13"/>
      <c r="D16" s="134"/>
      <c r="E16" s="135"/>
      <c r="F16" s="134"/>
      <c r="G16" s="34"/>
      <c r="H16" s="15"/>
      <c r="I16" s="34"/>
      <c r="J16" s="15"/>
      <c r="K16" s="140" t="s">
        <v>64</v>
      </c>
      <c r="L16" s="172">
        <v>798</v>
      </c>
      <c r="M16" s="85" t="s">
        <v>101</v>
      </c>
      <c r="N16" s="8"/>
    </row>
    <row r="17" spans="1:14" ht="15.75">
      <c r="A17" s="7"/>
      <c r="B17" s="16"/>
      <c r="C17" s="13"/>
      <c r="D17" s="134"/>
      <c r="E17" s="135"/>
      <c r="F17" s="134"/>
      <c r="G17" s="34"/>
      <c r="H17" s="15"/>
      <c r="I17" s="34"/>
      <c r="J17" s="15"/>
      <c r="K17" s="17"/>
      <c r="L17" s="40"/>
      <c r="M17" s="1"/>
      <c r="N17" s="8"/>
    </row>
    <row r="18" spans="1:14" ht="18">
      <c r="A18" s="7"/>
      <c r="B18" s="181" t="s">
        <v>145</v>
      </c>
      <c r="C18" s="188"/>
      <c r="D18" s="189">
        <f>L13</f>
        <v>816.9363918955016</v>
      </c>
      <c r="E18" s="190" t="s">
        <v>156</v>
      </c>
      <c r="F18" s="191"/>
      <c r="G18" s="192"/>
      <c r="H18" s="193">
        <f>L16</f>
        <v>798</v>
      </c>
      <c r="I18" s="194" t="s">
        <v>7</v>
      </c>
      <c r="J18" s="195"/>
      <c r="K18" s="180"/>
      <c r="L18" s="128"/>
      <c r="M18" s="85"/>
      <c r="N18" s="8"/>
    </row>
    <row r="19" spans="1:14" ht="15.75">
      <c r="A19" s="7"/>
      <c r="B19" s="16"/>
      <c r="C19" s="13"/>
      <c r="D19" s="134"/>
      <c r="E19" s="135"/>
      <c r="F19" s="134"/>
      <c r="G19" s="34"/>
      <c r="H19" s="15"/>
      <c r="I19" s="34"/>
      <c r="J19" s="15"/>
      <c r="K19" s="17"/>
      <c r="L19" s="40"/>
      <c r="M19" s="1"/>
      <c r="N19" s="8"/>
    </row>
    <row r="20" spans="1:14" ht="15.75">
      <c r="A20" s="7"/>
      <c r="B20" s="13"/>
      <c r="C20" s="13"/>
      <c r="D20" s="13"/>
      <c r="E20" s="13"/>
      <c r="F20" s="13"/>
      <c r="G20" s="13"/>
      <c r="H20" s="13"/>
      <c r="I20" s="13"/>
      <c r="J20" s="75"/>
      <c r="K20" s="13"/>
      <c r="L20" s="40"/>
      <c r="M20" s="1"/>
      <c r="N20" s="8"/>
    </row>
    <row r="21" spans="1:14" ht="13.5" thickBot="1">
      <c r="A21" s="7"/>
      <c r="B21" s="1"/>
      <c r="C21" s="1"/>
      <c r="D21" s="154" t="s">
        <v>117</v>
      </c>
      <c r="E21" s="76"/>
      <c r="F21" s="144" t="s">
        <v>118</v>
      </c>
      <c r="G21" s="33"/>
      <c r="H21" s="144" t="s">
        <v>119</v>
      </c>
      <c r="I21" s="33"/>
      <c r="J21" s="1"/>
      <c r="K21" s="33"/>
      <c r="L21" s="1"/>
      <c r="M21" s="33"/>
      <c r="N21" s="8"/>
    </row>
    <row r="22" spans="1:14" ht="13.5" thickBot="1">
      <c r="A22" s="7"/>
      <c r="B22" s="1"/>
      <c r="C22" s="1"/>
      <c r="D22" s="20" t="s">
        <v>22</v>
      </c>
      <c r="E22" s="21"/>
      <c r="F22" s="21" t="s">
        <v>16</v>
      </c>
      <c r="G22" s="21"/>
      <c r="H22" s="21" t="s">
        <v>16</v>
      </c>
      <c r="I22" s="161"/>
      <c r="J22" s="21" t="s">
        <v>110</v>
      </c>
      <c r="K22" s="21"/>
      <c r="L22" s="21" t="s">
        <v>146</v>
      </c>
      <c r="M22" s="67"/>
      <c r="N22" s="8"/>
    </row>
    <row r="23" spans="1:14" ht="12.75">
      <c r="A23" s="7"/>
      <c r="B23" s="20" t="s">
        <v>5</v>
      </c>
      <c r="C23" s="27" t="s">
        <v>5</v>
      </c>
      <c r="D23" s="33" t="s">
        <v>23</v>
      </c>
      <c r="E23" s="33"/>
      <c r="F23" s="34" t="s">
        <v>17</v>
      </c>
      <c r="G23" s="33"/>
      <c r="H23" s="34" t="s">
        <v>21</v>
      </c>
      <c r="I23" s="1"/>
      <c r="J23" s="33" t="s">
        <v>15</v>
      </c>
      <c r="K23" s="33"/>
      <c r="L23" s="33" t="s">
        <v>140</v>
      </c>
      <c r="M23" s="68" t="s">
        <v>5</v>
      </c>
      <c r="N23" s="8"/>
    </row>
    <row r="24" spans="1:38" ht="13.5" thickBot="1">
      <c r="A24" s="7"/>
      <c r="B24" s="22" t="s">
        <v>14</v>
      </c>
      <c r="C24" s="28" t="s">
        <v>6</v>
      </c>
      <c r="D24" s="23" t="s">
        <v>19</v>
      </c>
      <c r="E24" s="23"/>
      <c r="F24" s="35" t="s">
        <v>18</v>
      </c>
      <c r="G24" s="36"/>
      <c r="H24" s="35" t="s">
        <v>18</v>
      </c>
      <c r="I24" s="162"/>
      <c r="J24" s="35" t="s">
        <v>20</v>
      </c>
      <c r="K24" s="35"/>
      <c r="L24" s="23" t="s">
        <v>141</v>
      </c>
      <c r="M24" s="69" t="s">
        <v>6</v>
      </c>
      <c r="N24" s="15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</row>
    <row r="25" spans="1:14" ht="4.5" customHeight="1">
      <c r="A25" s="7"/>
      <c r="B25" s="18"/>
      <c r="C25" s="1"/>
      <c r="D25" s="1"/>
      <c r="E25" s="1"/>
      <c r="F25" s="1"/>
      <c r="G25" s="1"/>
      <c r="H25" s="1"/>
      <c r="J25" s="1"/>
      <c r="K25" s="1"/>
      <c r="M25" s="70"/>
      <c r="N25" s="8"/>
    </row>
    <row r="26" spans="1:14" ht="12.75">
      <c r="A26" s="7"/>
      <c r="B26" s="24" t="s">
        <v>8</v>
      </c>
      <c r="C26" s="25" t="s">
        <v>7</v>
      </c>
      <c r="D26" s="30">
        <f>'1) Formulas and Assumptions'!E44</f>
        <v>3413</v>
      </c>
      <c r="E26" s="38"/>
      <c r="F26" s="39">
        <f>'1) Formulas and Assumptions'!F44</f>
        <v>1</v>
      </c>
      <c r="G26" s="38"/>
      <c r="H26" s="39">
        <f>'1) Formulas and Assumptions'!G44</f>
        <v>1</v>
      </c>
      <c r="J26" s="65">
        <f>(($D$8*24*$D$9)/(($F26*$H26)*($D26)*($D$10)))</f>
        <v>23955.169675037156</v>
      </c>
      <c r="K26" s="38" t="s">
        <v>7</v>
      </c>
      <c r="L26">
        <v>0</v>
      </c>
      <c r="M26" s="185" t="s">
        <v>7</v>
      </c>
      <c r="N26" s="8"/>
    </row>
    <row r="27" spans="1:14" ht="12.75">
      <c r="A27" s="7"/>
      <c r="B27" s="24" t="s">
        <v>169</v>
      </c>
      <c r="C27" s="25" t="s">
        <v>7</v>
      </c>
      <c r="D27" s="30">
        <f>'1) Formulas and Assumptions'!E45</f>
        <v>3413</v>
      </c>
      <c r="E27" s="38"/>
      <c r="F27" s="39">
        <f>'1) Formulas and Assumptions'!F45</f>
        <v>1</v>
      </c>
      <c r="G27" s="38"/>
      <c r="H27" s="39">
        <f>'1) Formulas and Assumptions'!G45</f>
        <v>1</v>
      </c>
      <c r="J27" s="65">
        <f>J26</f>
        <v>23955.169675037156</v>
      </c>
      <c r="K27" s="38" t="s">
        <v>7</v>
      </c>
      <c r="L27">
        <v>0</v>
      </c>
      <c r="M27" s="185" t="s">
        <v>7</v>
      </c>
      <c r="N27" s="8"/>
    </row>
    <row r="28" spans="1:14" ht="12.75">
      <c r="A28" s="7"/>
      <c r="B28" s="24" t="s">
        <v>9</v>
      </c>
      <c r="C28" s="25" t="s">
        <v>93</v>
      </c>
      <c r="D28" s="30">
        <f>'1) Formulas and Assumptions'!E46</f>
        <v>139000</v>
      </c>
      <c r="E28" s="38"/>
      <c r="F28" s="39">
        <f>'1) Formulas and Assumptions'!F46</f>
        <v>0.8</v>
      </c>
      <c r="G28" s="38"/>
      <c r="H28" s="39">
        <v>0.9</v>
      </c>
      <c r="J28" s="65">
        <f>(($D$8*24*$D$9)/(($F28*$H28)*($D28)*($D$10)))</f>
        <v>816.9363918955016</v>
      </c>
      <c r="K28" s="38" t="s">
        <v>3</v>
      </c>
      <c r="L28">
        <v>798</v>
      </c>
      <c r="M28" s="185" t="s">
        <v>7</v>
      </c>
      <c r="N28" s="8"/>
    </row>
    <row r="29" spans="1:14" ht="12.75">
      <c r="A29" s="7"/>
      <c r="B29" s="24" t="s">
        <v>2</v>
      </c>
      <c r="C29" s="25" t="s">
        <v>93</v>
      </c>
      <c r="D29" s="30">
        <f>'1) Formulas and Assumptions'!E47</f>
        <v>91600</v>
      </c>
      <c r="E29" s="38"/>
      <c r="F29" s="39">
        <f>'1) Formulas and Assumptions'!F47</f>
        <v>0.8</v>
      </c>
      <c r="G29" s="38"/>
      <c r="H29" s="39">
        <v>0.9</v>
      </c>
      <c r="J29" s="65">
        <f>(($D$8*24*$D$9)/(($F29*$H29)*($D29)*($D$10)))</f>
        <v>1239.6742191427372</v>
      </c>
      <c r="K29" s="38" t="s">
        <v>3</v>
      </c>
      <c r="L29">
        <v>798</v>
      </c>
      <c r="M29" s="185" t="s">
        <v>7</v>
      </c>
      <c r="N29" s="8"/>
    </row>
    <row r="30" spans="1:14" ht="12.75">
      <c r="A30" s="7"/>
      <c r="B30" s="24" t="s">
        <v>1</v>
      </c>
      <c r="C30" s="25" t="s">
        <v>13</v>
      </c>
      <c r="D30" s="30">
        <f>'1) Formulas and Assumptions'!E48</f>
        <v>100000</v>
      </c>
      <c r="E30" s="38"/>
      <c r="F30" s="39">
        <f>'1) Formulas and Assumptions'!F48</f>
        <v>0.8</v>
      </c>
      <c r="G30" s="38"/>
      <c r="H30" s="39">
        <v>0.9</v>
      </c>
      <c r="J30" s="65">
        <f>(($D$8*24*$D$9)/(($F30*$H30)*($D30)*($D$10)))</f>
        <v>1135.5415847347472</v>
      </c>
      <c r="K30" s="38" t="s">
        <v>13</v>
      </c>
      <c r="L30">
        <v>798</v>
      </c>
      <c r="M30" s="185" t="s">
        <v>7</v>
      </c>
      <c r="N30" s="8"/>
    </row>
    <row r="31" spans="1:14" ht="12.75" hidden="1">
      <c r="A31" s="7"/>
      <c r="B31" s="24" t="s">
        <v>10</v>
      </c>
      <c r="C31" s="25" t="s">
        <v>7</v>
      </c>
      <c r="D31" s="30">
        <f>'1) Formulas and Assumptions'!E49</f>
        <v>3413</v>
      </c>
      <c r="E31" s="38"/>
      <c r="F31" s="39">
        <f>'1) Formulas and Assumptions'!F49</f>
        <v>2</v>
      </c>
      <c r="G31" s="38"/>
      <c r="H31" s="39">
        <v>0.9</v>
      </c>
      <c r="J31" s="65">
        <f>(($D$8*24*$D$9)/(($F31*$H31)*($D31)*($D$10)))</f>
        <v>13308.427597242864</v>
      </c>
      <c r="K31" s="38" t="s">
        <v>7</v>
      </c>
      <c r="L31">
        <v>0</v>
      </c>
      <c r="M31" s="185" t="s">
        <v>7</v>
      </c>
      <c r="N31" s="8"/>
    </row>
    <row r="32" spans="1:14" ht="12.75">
      <c r="A32" s="7"/>
      <c r="B32" s="24" t="s">
        <v>11</v>
      </c>
      <c r="C32" s="25" t="s">
        <v>7</v>
      </c>
      <c r="D32" s="30">
        <f>'1) Formulas and Assumptions'!E50</f>
        <v>3413</v>
      </c>
      <c r="E32" s="38"/>
      <c r="F32" s="39">
        <f>'1) Formulas and Assumptions'!F50</f>
        <v>3.5</v>
      </c>
      <c r="G32" s="38"/>
      <c r="H32" s="39">
        <v>0.9</v>
      </c>
      <c r="J32" s="65">
        <f>(($D$8*24*$D$9)/(($F32*$H32)*($D32)*($D$10)))</f>
        <v>7604.815769853067</v>
      </c>
      <c r="K32" s="38" t="s">
        <v>7</v>
      </c>
      <c r="L32">
        <v>0</v>
      </c>
      <c r="M32" s="185" t="s">
        <v>7</v>
      </c>
      <c r="N32" s="8"/>
    </row>
    <row r="33" spans="1:14" ht="13.5" thickBot="1">
      <c r="A33" s="7"/>
      <c r="B33" s="19"/>
      <c r="C33" s="26"/>
      <c r="D33" s="31"/>
      <c r="E33" s="66"/>
      <c r="F33" s="66"/>
      <c r="G33" s="66"/>
      <c r="H33" s="66"/>
      <c r="I33" s="66"/>
      <c r="J33" s="66"/>
      <c r="K33" s="66"/>
      <c r="L33" s="66"/>
      <c r="M33" s="71"/>
      <c r="N33" s="8"/>
    </row>
    <row r="34" spans="1:14" ht="12.75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8"/>
    </row>
    <row r="35" spans="1:14" ht="12.75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8"/>
    </row>
    <row r="36" spans="1:14" ht="12.75">
      <c r="A36" s="1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2"/>
    </row>
  </sheetData>
  <sheetProtection password="CCA7" sheet="1" objects="1" scenarios="1" selectLockedCells="1" selectUnlockedCells="1"/>
  <mergeCells count="4">
    <mergeCell ref="D5:H5"/>
    <mergeCell ref="D6:H6"/>
    <mergeCell ref="B1:N1"/>
    <mergeCell ref="B2:N2"/>
  </mergeCells>
  <printOptions horizontalCentered="1"/>
  <pageMargins left="0" right="0" top="0.75" bottom="0.5" header="0.5" footer="0.25"/>
  <pageSetup horizontalDpi="1200" verticalDpi="1200" orientation="portrait" scale="86"/>
  <headerFooter alignWithMargins="0">
    <oddFooter>&amp;L&amp;8File: &amp;Z&amp;F Tab: &amp;A&amp;R&amp;8&amp;D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2:AJ43"/>
  <sheetViews>
    <sheetView zoomScalePageLayoutView="0" workbookViewId="0" topLeftCell="A16">
      <selection activeCell="B31" sqref="B31"/>
    </sheetView>
  </sheetViews>
  <sheetFormatPr defaultColWidth="9.140625" defaultRowHeight="12.75"/>
  <cols>
    <col min="1" max="1" width="2.00390625" style="0" customWidth="1"/>
    <col min="2" max="2" width="36.57421875" style="0" customWidth="1"/>
    <col min="3" max="5" width="13.00390625" style="0" customWidth="1"/>
    <col min="6" max="7" width="13.00390625" style="0" hidden="1" customWidth="1"/>
    <col min="8" max="8" width="14.8515625" style="0" hidden="1" customWidth="1"/>
    <col min="9" max="9" width="11.140625" style="0" hidden="1" customWidth="1"/>
    <col min="10" max="10" width="11.7109375" style="0" hidden="1" customWidth="1"/>
    <col min="11" max="23" width="10.140625" style="0" hidden="1" customWidth="1"/>
    <col min="24" max="54" width="10.140625" style="0" customWidth="1"/>
  </cols>
  <sheetData>
    <row r="2" spans="2:12" ht="15.75">
      <c r="B2" s="270" t="s">
        <v>165</v>
      </c>
      <c r="D2" s="186"/>
      <c r="E2" s="186"/>
      <c r="J2" s="212" t="s">
        <v>0</v>
      </c>
      <c r="K2" s="187"/>
      <c r="L2" s="187"/>
    </row>
    <row r="3" spans="2:12" ht="15">
      <c r="B3" s="271" t="s">
        <v>166</v>
      </c>
      <c r="D3" s="186"/>
      <c r="E3" s="186"/>
      <c r="J3" s="212"/>
      <c r="K3" s="187"/>
      <c r="L3" s="187"/>
    </row>
    <row r="4" spans="2:12" ht="15">
      <c r="B4" s="271" t="s">
        <v>167</v>
      </c>
      <c r="D4" s="186"/>
      <c r="E4" s="186"/>
      <c r="J4" s="212"/>
      <c r="K4" s="187"/>
      <c r="L4" s="187"/>
    </row>
    <row r="5" ht="13.5" thickBot="1"/>
    <row r="6" spans="2:20" ht="12.75">
      <c r="B6" s="41" t="s">
        <v>5</v>
      </c>
      <c r="C6" s="42" t="s">
        <v>5</v>
      </c>
      <c r="D6" s="196"/>
      <c r="E6" s="255" t="s">
        <v>168</v>
      </c>
      <c r="F6" s="42"/>
      <c r="G6" s="224"/>
      <c r="H6" s="223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5"/>
    </row>
    <row r="7" spans="2:36" s="2" customFormat="1" ht="13.5" thickBot="1">
      <c r="B7" s="44" t="s">
        <v>14</v>
      </c>
      <c r="C7" s="45" t="s">
        <v>6</v>
      </c>
      <c r="D7" s="197" t="s">
        <v>158</v>
      </c>
      <c r="E7" s="269">
        <v>39566</v>
      </c>
      <c r="F7" s="263">
        <v>39448</v>
      </c>
      <c r="G7" s="242">
        <v>39264</v>
      </c>
      <c r="H7" s="243">
        <v>38903</v>
      </c>
      <c r="I7" s="242">
        <v>38873</v>
      </c>
      <c r="J7" s="242">
        <v>38838</v>
      </c>
      <c r="K7" s="242">
        <v>38810</v>
      </c>
      <c r="L7" s="242">
        <v>38782</v>
      </c>
      <c r="M7" s="242">
        <v>38754</v>
      </c>
      <c r="N7" s="242">
        <v>38720</v>
      </c>
      <c r="O7" s="242"/>
      <c r="P7" s="242"/>
      <c r="Q7" s="242"/>
      <c r="R7" s="242"/>
      <c r="S7" s="242"/>
      <c r="T7" s="244"/>
      <c r="U7" s="77"/>
      <c r="V7" s="77"/>
      <c r="W7" s="77"/>
      <c r="X7" s="77"/>
      <c r="Y7" s="77"/>
      <c r="Z7" s="77"/>
      <c r="AA7" s="77"/>
      <c r="AB7" s="77"/>
      <c r="AC7" s="78"/>
      <c r="AD7" s="78"/>
      <c r="AE7" s="78"/>
      <c r="AF7" s="78"/>
      <c r="AG7" s="78"/>
      <c r="AH7" s="78"/>
      <c r="AI7" s="78"/>
      <c r="AJ7" s="78"/>
    </row>
    <row r="8" spans="2:35" ht="12.75">
      <c r="B8" s="47" t="s">
        <v>25</v>
      </c>
      <c r="C8" s="48" t="s">
        <v>7</v>
      </c>
      <c r="D8" s="203" t="s">
        <v>158</v>
      </c>
      <c r="E8" s="253">
        <v>0.13694</v>
      </c>
      <c r="F8" s="264">
        <v>0.13694</v>
      </c>
      <c r="G8" s="245">
        <v>0.13428</v>
      </c>
      <c r="H8" s="246">
        <f>((0.026+0.00521+0.01657+0.003+0.00055)+(0.0818))</f>
        <v>0.13313</v>
      </c>
      <c r="I8" s="247">
        <f>((2.404+0.413+3.578+0.3+0.055)/100)+((9.13)/100)</f>
        <v>0.1588</v>
      </c>
      <c r="J8" s="247">
        <f>((2.404+0.413+3.578+0.3+0.055)/100)+((9.13)/100)</f>
        <v>0.1588</v>
      </c>
      <c r="K8" s="247">
        <f>((2.404+0.413+3.578+0.3+0.055)/100)+((9.13)/100)</f>
        <v>0.1588</v>
      </c>
      <c r="L8" s="247">
        <f>((2.404+0.413+3.578+0.3+0.055)/100)+((9.13)/100)</f>
        <v>0.1588</v>
      </c>
      <c r="M8" s="247">
        <f>((2.404+0.413+3.578+0.3+0.055)/100)+((9.13)/100)</f>
        <v>0.1588</v>
      </c>
      <c r="N8" s="248">
        <f>(2.404+0.413+3.578+0.3+0.055)/100+(7.24)/100</f>
        <v>0.1399</v>
      </c>
      <c r="O8" s="249">
        <f>(N8-H8)/N8</f>
        <v>0.0483917083631165</v>
      </c>
      <c r="P8" s="247"/>
      <c r="Q8" s="247"/>
      <c r="R8" s="247"/>
      <c r="S8" s="247"/>
      <c r="T8" s="250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</row>
    <row r="9" spans="2:35" ht="12.75">
      <c r="B9" s="47" t="s">
        <v>128</v>
      </c>
      <c r="C9" s="48" t="s">
        <v>7</v>
      </c>
      <c r="D9" s="203" t="s">
        <v>158</v>
      </c>
      <c r="E9" s="253">
        <v>0.10379</v>
      </c>
      <c r="F9" s="264">
        <v>0.10379</v>
      </c>
      <c r="G9" s="245">
        <v>0.09857</v>
      </c>
      <c r="H9" s="251">
        <f>(0.00076+0.00402+0.01027+0.003+0.00055)+(0.0818)</f>
        <v>0.10039999999999999</v>
      </c>
      <c r="I9" s="247">
        <f>((0.07+0.319+2.217+0.3+0.055)/100)+((9.13)/100)</f>
        <v>0.12091</v>
      </c>
      <c r="J9" s="247">
        <f>((0.07+0.319+2.217+0.3+0.055)/100)+((9.13)/100)</f>
        <v>0.12091</v>
      </c>
      <c r="K9" s="247">
        <f>((0.07+0.319+2.217+0.3+0.055)/100)+((9.13)/100)</f>
        <v>0.12091</v>
      </c>
      <c r="L9" s="247">
        <f>((0.07+0.319+2.217+0.3+0.055)/100)+((9.13)/100)</f>
        <v>0.12091</v>
      </c>
      <c r="M9" s="247">
        <f>((0.07+0.319+2.217+0.3+0.055)/100)+((9.13)/100)</f>
        <v>0.12091</v>
      </c>
      <c r="N9" s="248">
        <v>0.10201</v>
      </c>
      <c r="O9" s="249">
        <f aca="true" t="shared" si="0" ref="O9:O14">(N9-H9)/N9</f>
        <v>0.015782766395451564</v>
      </c>
      <c r="P9" s="247"/>
      <c r="Q9" s="247"/>
      <c r="R9" s="247"/>
      <c r="S9" s="247"/>
      <c r="T9" s="252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</row>
    <row r="10" spans="2:35" ht="12.75">
      <c r="B10" s="47" t="s">
        <v>27</v>
      </c>
      <c r="C10" s="48" t="s">
        <v>93</v>
      </c>
      <c r="D10" s="203" t="s">
        <v>158</v>
      </c>
      <c r="E10" s="254">
        <v>4.031</v>
      </c>
      <c r="F10" s="265">
        <v>3.339</v>
      </c>
      <c r="G10" s="245">
        <v>2.474</v>
      </c>
      <c r="H10" s="251">
        <v>2.572</v>
      </c>
      <c r="I10" s="247">
        <v>2.578</v>
      </c>
      <c r="J10" s="247">
        <v>2.585</v>
      </c>
      <c r="K10" s="247">
        <v>2.383</v>
      </c>
      <c r="L10" s="247">
        <v>2.383</v>
      </c>
      <c r="M10" s="247">
        <v>2.448</v>
      </c>
      <c r="N10" s="247">
        <v>2.406</v>
      </c>
      <c r="O10" s="249">
        <f t="shared" si="0"/>
        <v>-0.06899418121363254</v>
      </c>
      <c r="P10" s="247"/>
      <c r="Q10" s="247"/>
      <c r="R10" s="247"/>
      <c r="S10" s="247"/>
      <c r="T10" s="252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</row>
    <row r="11" spans="2:35" ht="12.75">
      <c r="B11" s="47" t="s">
        <v>28</v>
      </c>
      <c r="C11" s="48" t="s">
        <v>93</v>
      </c>
      <c r="D11" s="203" t="s">
        <v>158</v>
      </c>
      <c r="E11" s="254">
        <v>3.203</v>
      </c>
      <c r="F11" s="265">
        <v>3.002</v>
      </c>
      <c r="G11" s="245">
        <v>2.518</v>
      </c>
      <c r="H11" s="251">
        <v>2.436</v>
      </c>
      <c r="I11" s="247">
        <v>2.403</v>
      </c>
      <c r="J11" s="247">
        <v>2.339</v>
      </c>
      <c r="K11" s="247">
        <v>2.365</v>
      </c>
      <c r="L11" s="247">
        <v>2.393</v>
      </c>
      <c r="M11" s="247">
        <v>2.38</v>
      </c>
      <c r="N11" s="247">
        <v>2.311</v>
      </c>
      <c r="O11" s="249">
        <f t="shared" si="0"/>
        <v>-0.0540891389009087</v>
      </c>
      <c r="P11" s="247"/>
      <c r="Q11" s="247"/>
      <c r="R11" s="247"/>
      <c r="S11" s="247"/>
      <c r="T11" s="252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</row>
    <row r="12" spans="2:35" ht="12.75">
      <c r="B12" s="47" t="s">
        <v>129</v>
      </c>
      <c r="C12" s="48" t="s">
        <v>13</v>
      </c>
      <c r="D12" s="203" t="s">
        <v>158</v>
      </c>
      <c r="E12" s="254">
        <v>1.4695</v>
      </c>
      <c r="F12" s="265">
        <v>1.3569</v>
      </c>
      <c r="G12" s="245">
        <v>1.1077</v>
      </c>
      <c r="H12" s="251">
        <v>1.1629</v>
      </c>
      <c r="I12" s="247">
        <v>1.1693</v>
      </c>
      <c r="J12" s="247">
        <v>1.2014</v>
      </c>
      <c r="K12" s="247">
        <v>1.2193</v>
      </c>
      <c r="L12" s="247">
        <v>1.2193</v>
      </c>
      <c r="M12" s="247">
        <v>1.2289</v>
      </c>
      <c r="N12" s="247">
        <v>1.4397</v>
      </c>
      <c r="O12" s="249">
        <f t="shared" si="0"/>
        <v>0.19226227686323535</v>
      </c>
      <c r="P12" s="247"/>
      <c r="Q12" s="247"/>
      <c r="R12" s="247"/>
      <c r="S12" s="247"/>
      <c r="T12" s="252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</row>
    <row r="13" spans="2:35" ht="12.75">
      <c r="B13" s="47" t="s">
        <v>130</v>
      </c>
      <c r="C13" s="48" t="s">
        <v>7</v>
      </c>
      <c r="D13" s="203" t="s">
        <v>158</v>
      </c>
      <c r="E13" s="253">
        <f>E9</f>
        <v>0.10379</v>
      </c>
      <c r="F13" s="264">
        <f>F9</f>
        <v>0.10379</v>
      </c>
      <c r="G13" s="245">
        <f>G9</f>
        <v>0.09857</v>
      </c>
      <c r="H13" s="251">
        <f>H9</f>
        <v>0.10039999999999999</v>
      </c>
      <c r="I13" s="247">
        <f aca="true" t="shared" si="1" ref="H13:J14">I8</f>
        <v>0.1588</v>
      </c>
      <c r="J13" s="247">
        <f t="shared" si="1"/>
        <v>0.1588</v>
      </c>
      <c r="K13" s="247">
        <f aca="true" t="shared" si="2" ref="K13:T13">K8</f>
        <v>0.1588</v>
      </c>
      <c r="L13" s="247">
        <f t="shared" si="2"/>
        <v>0.1588</v>
      </c>
      <c r="M13" s="247">
        <f t="shared" si="2"/>
        <v>0.1588</v>
      </c>
      <c r="N13" s="247">
        <f t="shared" si="2"/>
        <v>0.1399</v>
      </c>
      <c r="O13" s="249">
        <f t="shared" si="0"/>
        <v>0.28234453180843466</v>
      </c>
      <c r="P13" s="247">
        <f t="shared" si="2"/>
        <v>0</v>
      </c>
      <c r="Q13" s="247">
        <f t="shared" si="2"/>
        <v>0</v>
      </c>
      <c r="R13" s="247">
        <f t="shared" si="2"/>
        <v>0</v>
      </c>
      <c r="S13" s="247">
        <f t="shared" si="2"/>
        <v>0</v>
      </c>
      <c r="T13" s="252">
        <f t="shared" si="2"/>
        <v>0</v>
      </c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</row>
    <row r="14" spans="2:35" ht="12.75">
      <c r="B14" s="47" t="s">
        <v>131</v>
      </c>
      <c r="C14" s="48" t="s">
        <v>7</v>
      </c>
      <c r="D14" s="203" t="s">
        <v>158</v>
      </c>
      <c r="E14" s="253">
        <f>E9</f>
        <v>0.10379</v>
      </c>
      <c r="F14" s="264">
        <f>F9</f>
        <v>0.10379</v>
      </c>
      <c r="G14" s="245">
        <f>G9</f>
        <v>0.09857</v>
      </c>
      <c r="H14" s="251">
        <f t="shared" si="1"/>
        <v>0.10039999999999999</v>
      </c>
      <c r="I14" s="247">
        <f t="shared" si="1"/>
        <v>0.12091</v>
      </c>
      <c r="J14" s="247">
        <f t="shared" si="1"/>
        <v>0.12091</v>
      </c>
      <c r="K14" s="247">
        <f aca="true" t="shared" si="3" ref="K14:T14">K9</f>
        <v>0.12091</v>
      </c>
      <c r="L14" s="247">
        <f t="shared" si="3"/>
        <v>0.12091</v>
      </c>
      <c r="M14" s="247">
        <f t="shared" si="3"/>
        <v>0.12091</v>
      </c>
      <c r="N14" s="247">
        <f t="shared" si="3"/>
        <v>0.10201</v>
      </c>
      <c r="O14" s="249">
        <f t="shared" si="0"/>
        <v>0.015782766395451564</v>
      </c>
      <c r="P14" s="247">
        <f t="shared" si="3"/>
        <v>0</v>
      </c>
      <c r="Q14" s="247">
        <f t="shared" si="3"/>
        <v>0</v>
      </c>
      <c r="R14" s="247">
        <f t="shared" si="3"/>
        <v>0</v>
      </c>
      <c r="S14" s="247">
        <f t="shared" si="3"/>
        <v>0</v>
      </c>
      <c r="T14" s="252">
        <f t="shared" si="3"/>
        <v>0</v>
      </c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</row>
    <row r="15" spans="2:35" ht="13.5" thickBot="1">
      <c r="B15" s="121"/>
      <c r="C15" s="50"/>
      <c r="D15" s="204"/>
      <c r="E15" s="256"/>
      <c r="F15" s="50"/>
      <c r="G15" s="234"/>
      <c r="H15" s="235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7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</row>
    <row r="16" ht="12.75">
      <c r="G16" s="7"/>
    </row>
    <row r="17" ht="12.75">
      <c r="G17" s="7"/>
    </row>
    <row r="18" spans="2:7" ht="15.75">
      <c r="B18" s="270" t="s">
        <v>109</v>
      </c>
      <c r="G18" s="7"/>
    </row>
    <row r="19" ht="13.5" thickBot="1">
      <c r="G19" s="7"/>
    </row>
    <row r="20" spans="2:20" ht="12.75">
      <c r="B20" s="122" t="s">
        <v>5</v>
      </c>
      <c r="C20" s="123" t="s">
        <v>5</v>
      </c>
      <c r="D20" s="205"/>
      <c r="E20" s="259"/>
      <c r="F20" s="123"/>
      <c r="G20" s="222"/>
      <c r="H20" s="223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5"/>
    </row>
    <row r="21" spans="2:20" ht="13.5" thickBot="1">
      <c r="B21" s="119" t="s">
        <v>14</v>
      </c>
      <c r="C21" s="101" t="s">
        <v>6</v>
      </c>
      <c r="D21" s="206" t="s">
        <v>158</v>
      </c>
      <c r="E21" s="261">
        <f>E7</f>
        <v>39566</v>
      </c>
      <c r="F21" s="266">
        <f>F7</f>
        <v>39448</v>
      </c>
      <c r="G21" s="226">
        <f>G7</f>
        <v>39264</v>
      </c>
      <c r="H21" s="227">
        <f>H7</f>
        <v>38903</v>
      </c>
      <c r="I21" s="226">
        <f>I7</f>
        <v>38873</v>
      </c>
      <c r="J21" s="226">
        <f aca="true" t="shared" si="4" ref="J21:T21">J7</f>
        <v>38838</v>
      </c>
      <c r="K21" s="226">
        <f t="shared" si="4"/>
        <v>38810</v>
      </c>
      <c r="L21" s="226">
        <f t="shared" si="4"/>
        <v>38782</v>
      </c>
      <c r="M21" s="226">
        <f t="shared" si="4"/>
        <v>38754</v>
      </c>
      <c r="N21" s="226">
        <f t="shared" si="4"/>
        <v>38720</v>
      </c>
      <c r="O21" s="226">
        <f t="shared" si="4"/>
        <v>0</v>
      </c>
      <c r="P21" s="226">
        <f t="shared" si="4"/>
        <v>0</v>
      </c>
      <c r="Q21" s="226">
        <f t="shared" si="4"/>
        <v>0</v>
      </c>
      <c r="R21" s="226">
        <f t="shared" si="4"/>
        <v>0</v>
      </c>
      <c r="S21" s="226">
        <f t="shared" si="4"/>
        <v>0</v>
      </c>
      <c r="T21" s="228">
        <f t="shared" si="4"/>
        <v>0</v>
      </c>
    </row>
    <row r="22" spans="2:20" ht="12.75">
      <c r="B22" s="124" t="str">
        <f>B8</f>
        <v> Electric Heat - Rate R</v>
      </c>
      <c r="C22" s="125" t="str">
        <f>C8</f>
        <v>kWh</v>
      </c>
      <c r="D22" s="207" t="s">
        <v>158</v>
      </c>
      <c r="E22" s="257">
        <f>(('3) Adjusted Heating Calc.s'!$J$26)*(E8))/('1) Formulas and Assumptions'!$G$9)</f>
        <v>1.640210467649794</v>
      </c>
      <c r="F22" s="267">
        <f>(('3) Adjusted Heating Calc.s'!$J$26)*(F8))/('1) Formulas and Assumptions'!$G$9)</f>
        <v>1.640210467649794</v>
      </c>
      <c r="G22" s="229">
        <f>(('3) Adjusted Heating Calc.s'!$J$26)*(G8))/('1) Formulas and Assumptions'!$G$9)</f>
        <v>1.6083500919819949</v>
      </c>
      <c r="H22" s="230">
        <f>(('3) Adjusted Heating Calc.s'!$J$26)*(H8))/('1) Formulas and Assumptions'!$G$9)</f>
        <v>1.5945758694188483</v>
      </c>
      <c r="I22" s="229">
        <f>(('3) Adjusted Heating Calc.s'!$J$26)*(I8))/('1) Formulas and Assumptions'!$G$9)</f>
        <v>1.90204047219795</v>
      </c>
      <c r="J22" s="229">
        <f>(('3) Adjusted Heating Calc.s'!$J$26)*(J8))/('1) Formulas and Assumptions'!$G$9)</f>
        <v>1.90204047219795</v>
      </c>
      <c r="K22" s="229">
        <f>(('3) Adjusted Heating Calc.s'!$J$26)*(K8))/('1) Formulas and Assumptions'!$G$9)</f>
        <v>1.90204047219795</v>
      </c>
      <c r="L22" s="229">
        <f>(('3) Adjusted Heating Calc.s'!$J$26)*(L8))/('1) Formulas and Assumptions'!$G$9)</f>
        <v>1.90204047219795</v>
      </c>
      <c r="M22" s="229">
        <f>(('3) Adjusted Heating Calc.s'!$J$26)*(M8))/('1) Formulas and Assumptions'!$G$9)</f>
        <v>1.90204047219795</v>
      </c>
      <c r="N22" s="229">
        <f>(('3) Adjusted Heating Calc.s'!$J$26)*(N8))/('1) Formulas and Assumptions'!$G$9)</f>
        <v>1.675664118768849</v>
      </c>
      <c r="O22" s="231"/>
      <c r="P22" s="231"/>
      <c r="Q22" s="231"/>
      <c r="R22" s="231"/>
      <c r="S22" s="231"/>
      <c r="T22" s="232"/>
    </row>
    <row r="23" spans="2:20" ht="12.75">
      <c r="B23" s="124" t="str">
        <f aca="true" t="shared" si="5" ref="B23:C28">B9</f>
        <v> Electric Heat w/ HEATSMART</v>
      </c>
      <c r="C23" s="125" t="str">
        <f t="shared" si="5"/>
        <v>kWh</v>
      </c>
      <c r="D23" s="207" t="s">
        <v>158</v>
      </c>
      <c r="E23" s="258">
        <f>(('3) Adjusted Heating Calc.s'!$J$27)*('4) Fuel Cost Data'!E9))/('1) Formulas and Assumptions'!$G$9)</f>
        <v>1.2431535302860532</v>
      </c>
      <c r="F23" s="268">
        <f>(('3) Adjusted Heating Calc.s'!$J$27)*('4) Fuel Cost Data'!F9))/('1) Formulas and Assumptions'!$G$9)</f>
        <v>1.2431535302860532</v>
      </c>
      <c r="G23" s="215">
        <f>(('3) Adjusted Heating Calc.s'!$J$27)*('4) Fuel Cost Data'!G9))/('1) Formulas and Assumptions'!$G$9)</f>
        <v>1.180630537434206</v>
      </c>
      <c r="H23" s="216">
        <f>(('3) Adjusted Heating Calc.s'!$J$27)*('4) Fuel Cost Data'!H9))/('1) Formulas and Assumptions'!$G$9)</f>
        <v>1.202549517686865</v>
      </c>
      <c r="I23" s="215">
        <f>(('3) Adjusted Heating Calc.s'!$J$27)*('4) Fuel Cost Data'!I9))/('1) Formulas and Assumptions'!$G$9)</f>
        <v>1.4482097827043712</v>
      </c>
      <c r="J23" s="215">
        <f>(('3) Adjusted Heating Calc.s'!$J$27)*('4) Fuel Cost Data'!J9))/('1) Formulas and Assumptions'!$G$9)</f>
        <v>1.4482097827043712</v>
      </c>
      <c r="K23" s="215">
        <f>(('3) Adjusted Heating Calc.s'!$J$27)*('4) Fuel Cost Data'!K9))/('1) Formulas and Assumptions'!$G$9)</f>
        <v>1.4482097827043712</v>
      </c>
      <c r="L23" s="215">
        <f>(('3) Adjusted Heating Calc.s'!$J$27)*('4) Fuel Cost Data'!L9))/('1) Formulas and Assumptions'!$G$9)</f>
        <v>1.4482097827043712</v>
      </c>
      <c r="M23" s="215">
        <f>(('3) Adjusted Heating Calc.s'!$J$27)*('4) Fuel Cost Data'!M9))/('1) Formulas and Assumptions'!$G$9)</f>
        <v>1.4482097827043712</v>
      </c>
      <c r="N23" s="215">
        <f>(('3) Adjusted Heating Calc.s'!$J$27)*('4) Fuel Cost Data'!N9))/('1) Formulas and Assumptions'!$G$9)</f>
        <v>1.2218334292752702</v>
      </c>
      <c r="O23" s="231"/>
      <c r="P23" s="231"/>
      <c r="Q23" s="231"/>
      <c r="R23" s="231"/>
      <c r="S23" s="231"/>
      <c r="T23" s="233"/>
    </row>
    <row r="24" spans="2:20" ht="12.75">
      <c r="B24" s="124" t="str">
        <f t="shared" si="5"/>
        <v> #2 Fuel Oil</v>
      </c>
      <c r="C24" s="125" t="str">
        <f t="shared" si="5"/>
        <v>gallons</v>
      </c>
      <c r="D24" s="207" t="s">
        <v>158</v>
      </c>
      <c r="E24" s="258">
        <f>((('3) Adjusted Heating Calc.s'!$J$28)*('4) Fuel Cost Data'!E10))+(('3) Adjusted Heating Calc.s'!$L$16)*('4) Fuel Cost Data'!E8)))/('1) Formulas and Assumptions'!$G$9)</f>
        <v>1.7011743578653833</v>
      </c>
      <c r="F24" s="268">
        <f>((('3) Adjusted Heating Calc.s'!$J$28)*('4) Fuel Cost Data'!F10))+(('3) Adjusted Heating Calc.s'!$L$16)*('4) Fuel Cost Data'!F8)))/('1) Formulas and Assumptions'!$G$9)</f>
        <v>1.41851436626954</v>
      </c>
      <c r="G24" s="215">
        <f>((('3) Adjusted Heating Calc.s'!$J$28)*('4) Fuel Cost Data'!G10))+(('3) Adjusted Heating Calc.s'!$L$16)*('4) Fuel Cost Data'!G8)))/('1) Formulas and Assumptions'!$G$9)</f>
        <v>1.0641280367747357</v>
      </c>
      <c r="H24" s="216">
        <f>((('3) Adjusted Heating Calc.s'!$J$28)*('4) Fuel Cost Data'!H10))+(('3) Adjusted Heating Calc.s'!$L$16)*('4) Fuel Cost Data'!H8)))/('1) Formulas and Assumptions'!$G$9)</f>
        <v>1.1036990699776152</v>
      </c>
      <c r="I24" s="215">
        <f>((('3) Adjusted Heating Calc.s'!$J$28)*('4) Fuel Cost Data'!I10))+(('3) Adjusted Heating Calc.s'!$L$16)*('4) Fuel Cost Data'!I8)))/('1) Formulas and Assumptions'!$G$9)</f>
        <v>1.1163922091533016</v>
      </c>
      <c r="J24" s="215">
        <f>((('3) Adjusted Heating Calc.s'!$J$28)*('4) Fuel Cost Data'!J10))+(('3) Adjusted Heating Calc.s'!$L$16)*('4) Fuel Cost Data'!J8)))/('1) Formulas and Assumptions'!$G$9)</f>
        <v>1.119251486524936</v>
      </c>
      <c r="K24" s="215">
        <f>((('3) Adjusted Heating Calc.s'!$J$28)*('4) Fuel Cost Data'!K10))+(('3) Adjusted Heating Calc.s'!$L$16)*('4) Fuel Cost Data'!K8)))/('1) Formulas and Assumptions'!$G$9)</f>
        <v>1.0367409109434902</v>
      </c>
      <c r="L24" s="215">
        <f>((('3) Adjusted Heating Calc.s'!$J$28)*('4) Fuel Cost Data'!L10))+(('3) Adjusted Heating Calc.s'!$L$16)*('4) Fuel Cost Data'!L8)))/('1) Formulas and Assumptions'!$G$9)</f>
        <v>1.0367409109434902</v>
      </c>
      <c r="M24" s="215">
        <f>((('3) Adjusted Heating Calc.s'!$J$28)*('4) Fuel Cost Data'!M10))+(('3) Adjusted Heating Calc.s'!$L$16)*('4) Fuel Cost Data'!M8)))/('1) Formulas and Assumptions'!$G$9)</f>
        <v>1.063291343680094</v>
      </c>
      <c r="N24" s="215">
        <f>((('3) Adjusted Heating Calc.s'!$J$28)*('4) Fuel Cost Data'!N10))+(('3) Adjusted Heating Calc.s'!$L$16)*('4) Fuel Cost Data'!N8)))/('1) Formulas and Assumptions'!$G$9)</f>
        <v>1.0385945794502884</v>
      </c>
      <c r="O24" s="231"/>
      <c r="P24" s="231"/>
      <c r="Q24" s="231"/>
      <c r="R24" s="231"/>
      <c r="S24" s="231"/>
      <c r="T24" s="233"/>
    </row>
    <row r="25" spans="2:20" ht="12.75">
      <c r="B25" s="124" t="str">
        <f t="shared" si="5"/>
        <v> Liquid Propane</v>
      </c>
      <c r="C25" s="125" t="str">
        <f t="shared" si="5"/>
        <v>gallons</v>
      </c>
      <c r="D25" s="207" t="s">
        <v>158</v>
      </c>
      <c r="E25" s="258">
        <f>((('3) Adjusted Heating Calc.s'!$J$29)*('4) Fuel Cost Data'!E11))+(('3) Adjusted Heating Calc.s'!$L$29)*('4) Fuel Cost Data'!E8)))/('1) Formulas and Assumptions'!$G$9)</f>
        <v>2.039977321957094</v>
      </c>
      <c r="F25" s="268">
        <f>((('3) Adjusted Heating Calc.s'!$J$29)*('4) Fuel Cost Data'!F11))+(('3) Adjusted Heating Calc.s'!$L$29)*('4) Fuel Cost Data'!F8)))/('1) Formulas and Assumptions'!$G$9)</f>
        <v>1.9153900629332483</v>
      </c>
      <c r="G25" s="215">
        <f>((('3) Adjusted Heating Calc.s'!$J$29)*('4) Fuel Cost Data'!G11))+(('3) Adjusted Heating Calc.s'!$L$29)*('4) Fuel Cost Data'!G8)))/('1) Formulas and Assumptions'!$G$9)</f>
        <v>1.614327561900706</v>
      </c>
      <c r="H25" s="216">
        <f>((('3) Adjusted Heating Calc.s'!$J$29)*('4) Fuel Cost Data'!H11))+(('3) Adjusted Heating Calc.s'!$L$29)*('4) Fuel Cost Data'!H8)))/('1) Formulas and Assumptions'!$G$9)</f>
        <v>1.563042068915854</v>
      </c>
      <c r="I25" s="215">
        <f>((('3) Adjusted Heating Calc.s'!$J$29)*('4) Fuel Cost Data'!I11))+(('3) Adjusted Heating Calc.s'!$L$29)*('4) Fuel Cost Data'!I8)))/('1) Formulas and Assumptions'!$G$9)</f>
        <v>1.552829774299999</v>
      </c>
      <c r="J25" s="215">
        <f>((('3) Adjusted Heating Calc.s'!$J$29)*('4) Fuel Cost Data'!J11))+(('3) Adjusted Heating Calc.s'!$L$29)*('4) Fuel Cost Data'!J8)))/('1) Formulas and Assumptions'!$G$9)</f>
        <v>1.513160199287431</v>
      </c>
      <c r="K25" s="215">
        <f>((('3) Adjusted Heating Calc.s'!$J$29)*('4) Fuel Cost Data'!K11))+(('3) Adjusted Heating Calc.s'!$L$29)*('4) Fuel Cost Data'!K8)))/('1) Formulas and Assumptions'!$G$9)</f>
        <v>1.529275964136287</v>
      </c>
      <c r="L25" s="215">
        <f>((('3) Adjusted Heating Calc.s'!$J$29)*('4) Fuel Cost Data'!L11))+(('3) Adjusted Heating Calc.s'!$L$29)*('4) Fuel Cost Data'!L8)))/('1) Formulas and Assumptions'!$G$9)</f>
        <v>1.5466314032042852</v>
      </c>
      <c r="M25" s="215">
        <f>((('3) Adjusted Heating Calc.s'!$J$29)*('4) Fuel Cost Data'!M11))+(('3) Adjusted Heating Calc.s'!$L$29)*('4) Fuel Cost Data'!M8)))/('1) Formulas and Assumptions'!$G$9)</f>
        <v>1.5385735207798572</v>
      </c>
      <c r="N25" s="215">
        <f>((('3) Adjusted Heating Calc.s'!$J$29)*('4) Fuel Cost Data'!N11))+(('3) Adjusted Heating Calc.s'!$L$29)*('4) Fuel Cost Data'!N8)))/('1) Formulas and Assumptions'!$G$9)</f>
        <v>1.4882636602194328</v>
      </c>
      <c r="O25" s="231"/>
      <c r="P25" s="231"/>
      <c r="Q25" s="231"/>
      <c r="R25" s="231"/>
      <c r="S25" s="231"/>
      <c r="T25" s="233"/>
    </row>
    <row r="26" spans="2:20" ht="12.75">
      <c r="B26" s="124" t="str">
        <f t="shared" si="5"/>
        <v> Natural Gas * second tier</v>
      </c>
      <c r="C26" s="125" t="str">
        <f t="shared" si="5"/>
        <v>therms</v>
      </c>
      <c r="D26" s="207" t="s">
        <v>158</v>
      </c>
      <c r="E26" s="258">
        <f>((('3) Adjusted Heating Calc.s'!$J$30)*('4) Fuel Cost Data'!E12))+(('3) Adjusted Heating Calc.s'!$L$16)*('4) Fuel Cost Data'!E8)))/('1) Formulas and Assumptions'!$G$9)</f>
        <v>0.8889782393838555</v>
      </c>
      <c r="F26" s="268">
        <f>((('3) Adjusted Heating Calc.s'!$J$30)*('4) Fuel Cost Data'!F12))+(('3) Adjusted Heating Calc.s'!$L$16)*('4) Fuel Cost Data'!F8)))/('1) Formulas and Assumptions'!$G$9)</f>
        <v>0.8250472481632891</v>
      </c>
      <c r="G26" s="215">
        <f>((('3) Adjusted Heating Calc.s'!$J$30)*('4) Fuel Cost Data'!G12))+(('3) Adjusted Heating Calc.s'!$L$16)*('4) Fuel Cost Data'!G8)))/('1) Formulas and Assumptions'!$G$9)</f>
        <v>0.6824974267053396</v>
      </c>
      <c r="H26" s="216">
        <f>((('3) Adjusted Heating Calc.s'!$J$30)*('4) Fuel Cost Data'!H12))+(('3) Adjusted Heating Calc.s'!$L$16)*('4) Fuel Cost Data'!H8)))/('1) Formulas and Assumptions'!$G$9)</f>
        <v>0.7133795244440188</v>
      </c>
      <c r="I26" s="215">
        <f>((('3) Adjusted Heating Calc.s'!$J$30)*('4) Fuel Cost Data'!I12))+(('3) Adjusted Heating Calc.s'!$L$16)*('4) Fuel Cost Data'!I8)))/('1) Formulas and Assumptions'!$G$9)</f>
        <v>0.7272555875151699</v>
      </c>
      <c r="J26" s="215">
        <f>((('3) Adjusted Heating Calc.s'!$J$30)*('4) Fuel Cost Data'!J12))+(('3) Adjusted Heating Calc.s'!$L$16)*('4) Fuel Cost Data'!J8)))/('1) Formulas and Assumptions'!$G$9)</f>
        <v>0.7454810299501625</v>
      </c>
      <c r="K26" s="215">
        <f>((('3) Adjusted Heating Calc.s'!$J$30)*('4) Fuel Cost Data'!K12))+(('3) Adjusted Heating Calc.s'!$L$16)*('4) Fuel Cost Data'!K8)))/('1) Formulas and Assumptions'!$G$9)</f>
        <v>0.7556441271335387</v>
      </c>
      <c r="L26" s="215">
        <f>((('3) Adjusted Heating Calc.s'!$J$30)*('4) Fuel Cost Data'!L12))+(('3) Adjusted Heating Calc.s'!$L$16)*('4) Fuel Cost Data'!L8)))/('1) Formulas and Assumptions'!$G$9)</f>
        <v>0.7556441271335387</v>
      </c>
      <c r="M26" s="215">
        <f>((('3) Adjusted Heating Calc.s'!$J$30)*('4) Fuel Cost Data'!M12))+(('3) Adjusted Heating Calc.s'!$L$16)*('4) Fuel Cost Data'!M8)))/('1) Formulas and Assumptions'!$G$9)</f>
        <v>0.7610947267402655</v>
      </c>
      <c r="N26" s="215">
        <f>((('3) Adjusted Heating Calc.s'!$J$30)*('4) Fuel Cost Data'!N12))+(('3) Adjusted Heating Calc.s'!$L$16)*('4) Fuel Cost Data'!N8)))/('1) Formulas and Assumptions'!$G$9)</f>
        <v>0.8732397097713077</v>
      </c>
      <c r="O26" s="231"/>
      <c r="P26" s="231"/>
      <c r="Q26" s="231"/>
      <c r="R26" s="231"/>
      <c r="S26" s="231"/>
      <c r="T26" s="233"/>
    </row>
    <row r="27" spans="2:20" ht="12.75">
      <c r="B27" s="124" t="str">
        <f t="shared" si="5"/>
        <v> Air-to-Air Heat Pump on HEATSMART</v>
      </c>
      <c r="C27" s="125" t="str">
        <f t="shared" si="5"/>
        <v>kWh</v>
      </c>
      <c r="D27" s="207" t="s">
        <v>158</v>
      </c>
      <c r="E27" s="258">
        <f>(('3) Adjusted Heating Calc.s'!$J$31)*('4) Fuel Cost Data'!E13))/('1) Formulas and Assumptions'!$G$9)</f>
        <v>0.6906408501589184</v>
      </c>
      <c r="F27" s="268">
        <f>(('3) Adjusted Heating Calc.s'!$J$31)*('4) Fuel Cost Data'!F13))/('1) Formulas and Assumptions'!$G$9)</f>
        <v>0.6906408501589184</v>
      </c>
      <c r="G27" s="215">
        <f>(('3) Adjusted Heating Calc.s'!$J$31)*('4) Fuel Cost Data'!G13))/('1) Formulas and Assumptions'!$G$9)</f>
        <v>0.6559058541301146</v>
      </c>
      <c r="H27" s="216">
        <f>(('3) Adjusted Heating Calc.s'!$J$31)*('4) Fuel Cost Data'!H13))/('1) Formulas and Assumptions'!$G$9)</f>
        <v>0.6680830653815917</v>
      </c>
      <c r="I27" s="215">
        <f>(('3) Adjusted Heating Calc.s'!$J$31)*('4) Fuel Cost Data'!I13))/('1) Formulas and Assumptions'!$G$9)</f>
        <v>1.0566891512210834</v>
      </c>
      <c r="J27" s="215">
        <f>(('3) Adjusted Heating Calc.s'!$J$31)*('4) Fuel Cost Data'!J13))/('1) Formulas and Assumptions'!$G$9)</f>
        <v>1.0566891512210834</v>
      </c>
      <c r="K27" s="215">
        <f>(('3) Adjusted Heating Calc.s'!$J$31)*('4) Fuel Cost Data'!K13))/('1) Formulas and Assumptions'!$G$9)</f>
        <v>1.0566891512210834</v>
      </c>
      <c r="L27" s="215">
        <f>(('3) Adjusted Heating Calc.s'!$J$31)*('4) Fuel Cost Data'!L13))/('1) Formulas and Assumptions'!$G$9)</f>
        <v>1.0566891512210834</v>
      </c>
      <c r="M27" s="215">
        <f>(('3) Adjusted Heating Calc.s'!$J$31)*('4) Fuel Cost Data'!M13))/('1) Formulas and Assumptions'!$G$9)</f>
        <v>1.0566891512210834</v>
      </c>
      <c r="N27" s="215">
        <f>(('3) Adjusted Heating Calc.s'!$J$31)*('4) Fuel Cost Data'!N13))/('1) Formulas and Assumptions'!$G$9)</f>
        <v>0.9309245104271383</v>
      </c>
      <c r="O27" s="231"/>
      <c r="P27" s="231"/>
      <c r="Q27" s="231"/>
      <c r="R27" s="231"/>
      <c r="S27" s="231"/>
      <c r="T27" s="233"/>
    </row>
    <row r="28" spans="2:20" ht="12.75">
      <c r="B28" s="124" t="str">
        <f t="shared" si="5"/>
        <v> Geo-thermal Heat Pump on HEATSMART</v>
      </c>
      <c r="C28" s="125" t="str">
        <f t="shared" si="5"/>
        <v>kWh</v>
      </c>
      <c r="D28" s="207" t="s">
        <v>158</v>
      </c>
      <c r="E28" s="258">
        <f>(('3) Adjusted Heating Calc.s'!$J$32)*('4) Fuel Cost Data'!E14))/('1) Formulas and Assumptions'!$G$9)</f>
        <v>0.39465191437652486</v>
      </c>
      <c r="F28" s="268">
        <f>(('3) Adjusted Heating Calc.s'!$J$32)*('4) Fuel Cost Data'!F14))/('1) Formulas and Assumptions'!$G$9)</f>
        <v>0.39465191437652486</v>
      </c>
      <c r="G28" s="215">
        <f>(('3) Adjusted Heating Calc.s'!$J$32)*('4) Fuel Cost Data'!G14))/('1) Formulas and Assumptions'!$G$9)</f>
        <v>0.37480334521720843</v>
      </c>
      <c r="H28" s="216">
        <f>(('3) Adjusted Heating Calc.s'!$J$32)*('4) Fuel Cost Data'!H14))/('1) Formulas and Assumptions'!$G$9)</f>
        <v>0.3817617516466239</v>
      </c>
      <c r="I28" s="215">
        <f>(('3) Adjusted Heating Calc.s'!$J$32)*('4) Fuel Cost Data'!I14))/('1) Formulas and Assumptions'!$G$9)</f>
        <v>0.45974913736646716</v>
      </c>
      <c r="J28" s="215">
        <f>(('3) Adjusted Heating Calc.s'!$J$32)*('4) Fuel Cost Data'!J14))/('1) Formulas and Assumptions'!$G$9)</f>
        <v>0.45974913736646716</v>
      </c>
      <c r="K28" s="215">
        <f>(('3) Adjusted Heating Calc.s'!$J$32)*('4) Fuel Cost Data'!K14))/('1) Formulas and Assumptions'!$G$9)</f>
        <v>0.45974913736646716</v>
      </c>
      <c r="L28" s="215">
        <f>(('3) Adjusted Heating Calc.s'!$J$32)*('4) Fuel Cost Data'!L14))/('1) Formulas and Assumptions'!$G$9)</f>
        <v>0.45974913736646716</v>
      </c>
      <c r="M28" s="215">
        <f>(('3) Adjusted Heating Calc.s'!$J$32)*('4) Fuel Cost Data'!M14))/('1) Formulas and Assumptions'!$G$9)</f>
        <v>0.45974913736646716</v>
      </c>
      <c r="N28" s="215">
        <f>(('3) Adjusted Heating Calc.s'!$J$32)*('4) Fuel Cost Data'!N14))/('1) Formulas and Assumptions'!$G$9)</f>
        <v>0.3878836283413557</v>
      </c>
      <c r="O28" s="231"/>
      <c r="P28" s="231"/>
      <c r="Q28" s="231"/>
      <c r="R28" s="231"/>
      <c r="S28" s="231"/>
      <c r="T28" s="233"/>
    </row>
    <row r="29" spans="2:20" ht="13.5" thickBot="1">
      <c r="B29" s="126"/>
      <c r="C29" s="127"/>
      <c r="D29" s="208"/>
      <c r="E29" s="260"/>
      <c r="F29" s="127"/>
      <c r="G29" s="234"/>
      <c r="H29" s="235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7"/>
    </row>
    <row r="31" ht="15.75">
      <c r="B31" s="270" t="s">
        <v>157</v>
      </c>
    </row>
    <row r="32" ht="13.5" thickBot="1"/>
    <row r="33" spans="2:7" ht="13.5" thickBot="1">
      <c r="B33" s="163"/>
      <c r="C33" s="213">
        <f>E21</f>
        <v>39566</v>
      </c>
      <c r="D33" s="214">
        <f>E21</f>
        <v>39566</v>
      </c>
      <c r="E33" s="217"/>
      <c r="F33" s="217"/>
      <c r="G33" s="218"/>
    </row>
    <row r="34" spans="2:8" ht="44.25" customHeight="1" thickBot="1">
      <c r="B34" s="164" t="s">
        <v>121</v>
      </c>
      <c r="C34" s="168" t="s">
        <v>120</v>
      </c>
      <c r="D34" s="209" t="s">
        <v>147</v>
      </c>
      <c r="E34" s="219"/>
      <c r="F34" s="219"/>
      <c r="G34" s="219"/>
      <c r="H34" s="238"/>
    </row>
    <row r="35" spans="2:10" ht="12.75">
      <c r="B35" s="165" t="s">
        <v>161</v>
      </c>
      <c r="C35" s="240">
        <v>0.3947</v>
      </c>
      <c r="D35" s="210">
        <f>C35*('1) Formulas and Assumptions'!$G$9)+(12*6.43)</f>
        <v>866.56</v>
      </c>
      <c r="E35" s="220"/>
      <c r="F35" s="220"/>
      <c r="G35" s="220"/>
      <c r="H35" s="239"/>
      <c r="J35" s="202"/>
    </row>
    <row r="36" spans="2:10" ht="12.75">
      <c r="B36" s="165" t="s">
        <v>163</v>
      </c>
      <c r="C36" s="241">
        <v>0.889</v>
      </c>
      <c r="D36" s="210">
        <f>C36*('1) Formulas and Assumptions'!$G$9)+('3) Adjusted Heating Calc.s'!L30*'4) Fuel Cost Data'!E8)</f>
        <v>1887.27812</v>
      </c>
      <c r="E36" s="220"/>
      <c r="F36" s="220"/>
      <c r="G36" s="220"/>
      <c r="H36" s="239"/>
      <c r="J36" s="202"/>
    </row>
    <row r="37" spans="2:10" ht="12.75">
      <c r="B37" s="165" t="s">
        <v>170</v>
      </c>
      <c r="C37" s="241">
        <v>1.2432</v>
      </c>
      <c r="D37" s="210">
        <f>C37*('1) Formulas and Assumptions'!$G$9)</f>
        <v>2486.4</v>
      </c>
      <c r="E37" s="220"/>
      <c r="F37" s="220"/>
      <c r="G37" s="220"/>
      <c r="H37" s="239"/>
      <c r="J37" s="202"/>
    </row>
    <row r="38" spans="2:10" ht="12.75">
      <c r="B38" s="165" t="s">
        <v>171</v>
      </c>
      <c r="C38" s="241">
        <v>1.6402</v>
      </c>
      <c r="D38" s="210">
        <f>C38*('1) Formulas and Assumptions'!$G$9)+(12*6.43)</f>
        <v>3357.56</v>
      </c>
      <c r="E38" s="220"/>
      <c r="F38" s="220"/>
      <c r="G38" s="220"/>
      <c r="H38" s="239"/>
      <c r="J38" s="202"/>
    </row>
    <row r="39" spans="2:10" ht="12.75">
      <c r="B39" s="165" t="s">
        <v>164</v>
      </c>
      <c r="C39" s="241">
        <v>1.7012</v>
      </c>
      <c r="D39" s="210">
        <f>C39*('1) Formulas and Assumptions'!$G$9)+('3) Adjusted Heating Calc.s'!L28*'4) Fuel Cost Data'!E8)</f>
        <v>3511.67812</v>
      </c>
      <c r="E39" s="220"/>
      <c r="F39" s="220"/>
      <c r="G39" s="220"/>
      <c r="H39" s="239"/>
      <c r="J39" s="202"/>
    </row>
    <row r="40" spans="2:10" ht="12.75" hidden="1">
      <c r="B40" s="165" t="s">
        <v>160</v>
      </c>
      <c r="C40" s="241">
        <v>0.7074</v>
      </c>
      <c r="D40" s="210">
        <f>C40*('1) Formulas and Assumptions'!$G$9)</f>
        <v>1414.8</v>
      </c>
      <c r="E40" s="220"/>
      <c r="F40" s="220"/>
      <c r="G40" s="220"/>
      <c r="H40" s="239"/>
      <c r="J40" s="202"/>
    </row>
    <row r="41" spans="2:10" ht="12.75">
      <c r="B41" s="165" t="s">
        <v>162</v>
      </c>
      <c r="C41" s="241">
        <v>2.04</v>
      </c>
      <c r="D41" s="210">
        <f>C41*('1) Formulas and Assumptions'!$G$9)+('3) Adjusted Heating Calc.s'!L29*'4) Fuel Cost Data'!E8)</f>
        <v>4189.27812</v>
      </c>
      <c r="E41" s="220"/>
      <c r="F41" s="220"/>
      <c r="G41" s="220"/>
      <c r="H41" s="239"/>
      <c r="J41" s="202"/>
    </row>
    <row r="42" spans="2:9" ht="13.5" thickBot="1">
      <c r="B42" s="166"/>
      <c r="C42" s="167"/>
      <c r="D42" s="211"/>
      <c r="E42" s="221"/>
      <c r="F42" s="221"/>
      <c r="G42" s="221"/>
      <c r="H42" s="40"/>
      <c r="I42" s="202"/>
    </row>
    <row r="43" ht="12.75">
      <c r="E43" s="262"/>
    </row>
  </sheetData>
  <sheetProtection password="CCA7" sheet="1" objects="1" scenarios="1" selectLockedCells="1" selectUnlockedCells="1"/>
  <autoFilter ref="C34:D34"/>
  <hyperlinks>
    <hyperlink ref="J2" r:id="rId1" display="http://www.nh.gov/oep/index.htm"/>
  </hyperlinks>
  <printOptions/>
  <pageMargins left="0" right="0" top="0.5" bottom="0.25" header="0.25" footer="0.25"/>
  <pageSetup horizontalDpi="1200" verticalDpi="1200" orientation="landscape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Northeast Utilities</dc:creator>
  <cp:keywords/>
  <dc:description/>
  <cp:lastModifiedBy>rob</cp:lastModifiedBy>
  <cp:lastPrinted>2008-05-06T15:01:20Z</cp:lastPrinted>
  <dcterms:created xsi:type="dcterms:W3CDTF">1998-02-27T15:20:47Z</dcterms:created>
  <dcterms:modified xsi:type="dcterms:W3CDTF">2011-08-11T15:45:51Z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